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4805" windowHeight="7890" activeTab="4"/>
  </bookViews>
  <sheets>
    <sheet name="village intensive electr" sheetId="1" r:id="rId1"/>
    <sheet name="habitation electrification" sheetId="4" r:id="rId2"/>
    <sheet name="BPL progress" sheetId="2" r:id="rId3"/>
    <sheet name="RHH progress (2)" sheetId="6" r:id="rId4"/>
    <sheet name="GK-IP sets serviced" sheetId="7" r:id="rId5"/>
  </sheets>
  <definedNames>
    <definedName name="_xlnm.Print_Area" localSheetId="4">'GK-IP sets serviced'!$A$1:$P$12</definedName>
    <definedName name="_xlnm.Print_Area" localSheetId="1">'habitation electrification'!$A$1:$Y$16</definedName>
    <definedName name="_xlnm.Print_Area" localSheetId="3">'RHH progress (2)'!$A$1:$AA$15</definedName>
  </definedNames>
  <calcPr calcId="145621" iterateDelta="1E-4"/>
</workbook>
</file>

<file path=xl/calcChain.xml><?xml version="1.0" encoding="utf-8"?>
<calcChain xmlns="http://schemas.openxmlformats.org/spreadsheetml/2006/main">
  <c r="P12" i="7" l="1"/>
  <c r="N12" i="7"/>
  <c r="L12" i="7"/>
  <c r="J12" i="7"/>
  <c r="I12" i="7"/>
  <c r="H12" i="7"/>
  <c r="G12" i="7"/>
  <c r="F12" i="7"/>
  <c r="E12" i="7"/>
  <c r="K12" i="7"/>
  <c r="M12" i="7"/>
  <c r="D12" i="7"/>
  <c r="C12" i="7"/>
  <c r="Z13" i="6"/>
  <c r="Z17" i="6"/>
  <c r="Y13" i="6"/>
  <c r="Y17" i="6"/>
  <c r="Z10" i="6"/>
  <c r="Y10" i="6"/>
  <c r="Z20" i="2"/>
  <c r="Z19" i="2"/>
  <c r="Z14" i="2"/>
  <c r="Z15" i="2"/>
  <c r="Z16" i="2"/>
  <c r="Y14" i="2"/>
  <c r="Y15" i="2"/>
  <c r="Y16" i="2"/>
  <c r="Z13" i="2"/>
  <c r="Y13" i="2"/>
  <c r="Z10" i="2"/>
  <c r="Y10" i="2"/>
  <c r="X20" i="4"/>
  <c r="X15" i="4"/>
  <c r="W15" i="4"/>
  <c r="X13" i="4"/>
  <c r="X16" i="4"/>
  <c r="W13" i="4"/>
  <c r="X10" i="4"/>
  <c r="W10" i="4"/>
  <c r="W16" i="4"/>
  <c r="X23" i="1"/>
  <c r="W15" i="1"/>
  <c r="X13" i="1"/>
  <c r="X16" i="1"/>
  <c r="W13" i="1"/>
  <c r="W16" i="1"/>
  <c r="X10" i="1"/>
  <c r="W10" i="1"/>
  <c r="T15" i="4"/>
  <c r="U15" i="4"/>
  <c r="V15" i="4"/>
  <c r="S15" i="4"/>
  <c r="U15" i="1"/>
  <c r="V15" i="1"/>
  <c r="T15" i="6"/>
  <c r="S15" i="6"/>
  <c r="X14" i="6"/>
  <c r="X15" i="6"/>
  <c r="W14" i="6"/>
  <c r="W15" i="6"/>
  <c r="V14" i="6"/>
  <c r="Z14" i="6"/>
  <c r="Z15" i="6"/>
  <c r="U14" i="6"/>
  <c r="Y14" i="6"/>
  <c r="Y15" i="6"/>
  <c r="U15" i="6"/>
  <c r="X10" i="6"/>
  <c r="W10" i="6"/>
  <c r="V10" i="6"/>
  <c r="U10" i="6"/>
  <c r="T10" i="6"/>
  <c r="S10" i="6"/>
  <c r="L16" i="2"/>
  <c r="C16" i="2"/>
  <c r="X15" i="2"/>
  <c r="X16" i="2"/>
  <c r="W15" i="2"/>
  <c r="V15" i="2"/>
  <c r="V16" i="2"/>
  <c r="U15" i="2"/>
  <c r="U16" i="2"/>
  <c r="X20" i="2"/>
  <c r="X13" i="2"/>
  <c r="W13" i="2"/>
  <c r="W16" i="2"/>
  <c r="V13" i="2"/>
  <c r="U13" i="2"/>
  <c r="T13" i="2"/>
  <c r="S13" i="2"/>
  <c r="S16" i="2"/>
  <c r="X10" i="2"/>
  <c r="W10" i="2"/>
  <c r="V10" i="2"/>
  <c r="U10" i="2"/>
  <c r="T10" i="2"/>
  <c r="T16" i="2"/>
  <c r="S10" i="2"/>
  <c r="M16" i="4"/>
  <c r="T16" i="4"/>
  <c r="V20" i="4"/>
  <c r="V13" i="4"/>
  <c r="V16" i="4"/>
  <c r="U13" i="4"/>
  <c r="U16" i="4"/>
  <c r="T13" i="4"/>
  <c r="S13" i="4"/>
  <c r="S16" i="4"/>
  <c r="R13" i="4"/>
  <c r="R16" i="4"/>
  <c r="Q13" i="4"/>
  <c r="Q16" i="4"/>
  <c r="V10" i="4"/>
  <c r="U10" i="4"/>
  <c r="T10" i="4"/>
  <c r="S10" i="4"/>
  <c r="R10" i="4"/>
  <c r="Q10" i="4"/>
  <c r="L16" i="1"/>
  <c r="M16" i="1"/>
  <c r="P16" i="1"/>
  <c r="Q16" i="1"/>
  <c r="T15" i="1"/>
  <c r="S15" i="1"/>
  <c r="S16" i="1"/>
  <c r="V23" i="1"/>
  <c r="V13" i="1"/>
  <c r="V16" i="1"/>
  <c r="U13" i="1"/>
  <c r="U16" i="1"/>
  <c r="V10" i="1"/>
  <c r="U10" i="1"/>
  <c r="T13" i="1"/>
  <c r="S13" i="1"/>
  <c r="T10" i="1"/>
  <c r="T16" i="1"/>
  <c r="S10" i="1"/>
  <c r="R13" i="1"/>
  <c r="R16" i="1"/>
  <c r="Q13" i="1"/>
  <c r="R10" i="1"/>
  <c r="Q10" i="1"/>
  <c r="L13" i="4"/>
  <c r="L16" i="4"/>
  <c r="M13" i="4"/>
  <c r="N13" i="4"/>
  <c r="N16" i="4"/>
  <c r="O13" i="4"/>
  <c r="O16" i="4"/>
  <c r="P13" i="4"/>
  <c r="P16" i="4"/>
  <c r="K10" i="4"/>
  <c r="L10" i="4"/>
  <c r="M10" i="4"/>
  <c r="N10" i="4"/>
  <c r="O10" i="4"/>
  <c r="P10" i="4"/>
  <c r="N12" i="6"/>
  <c r="N15" i="6"/>
  <c r="P12" i="6"/>
  <c r="P15" i="6"/>
  <c r="Q12" i="6"/>
  <c r="R12" i="6"/>
  <c r="M9" i="6"/>
  <c r="N9" i="6"/>
  <c r="O9" i="6"/>
  <c r="P9" i="6"/>
  <c r="Q9" i="6"/>
  <c r="R9" i="6"/>
  <c r="R15" i="6"/>
  <c r="N13" i="2"/>
  <c r="N16" i="2"/>
  <c r="P13" i="2"/>
  <c r="Q13" i="2"/>
  <c r="Q16" i="2"/>
  <c r="R13" i="2"/>
  <c r="R16" i="2"/>
  <c r="M10" i="2"/>
  <c r="N10" i="2"/>
  <c r="O10" i="2"/>
  <c r="P10" i="2"/>
  <c r="P16" i="2"/>
  <c r="Q10" i="2"/>
  <c r="R10" i="2"/>
  <c r="L13" i="1"/>
  <c r="M13" i="1"/>
  <c r="N13" i="1"/>
  <c r="N16" i="1"/>
  <c r="O13" i="1"/>
  <c r="O16" i="1"/>
  <c r="P13" i="1"/>
  <c r="G11" i="1"/>
  <c r="G13" i="1"/>
  <c r="G16" i="1"/>
  <c r="F11" i="1"/>
  <c r="E11" i="1"/>
  <c r="H12" i="1"/>
  <c r="F12" i="1"/>
  <c r="F13" i="1"/>
  <c r="E12" i="1"/>
  <c r="G12" i="1"/>
  <c r="L10" i="1"/>
  <c r="M10" i="1"/>
  <c r="N10" i="1"/>
  <c r="O10" i="1"/>
  <c r="P10" i="1"/>
  <c r="K10" i="1"/>
  <c r="D10" i="2"/>
  <c r="D16" i="2"/>
  <c r="C10" i="2"/>
  <c r="D9" i="6"/>
  <c r="D15" i="6"/>
  <c r="C9" i="6"/>
  <c r="L12" i="6"/>
  <c r="J12" i="6"/>
  <c r="H12" i="6"/>
  <c r="G12" i="6"/>
  <c r="F12" i="6"/>
  <c r="E12" i="6"/>
  <c r="C12" i="6"/>
  <c r="C15" i="6"/>
  <c r="I11" i="6"/>
  <c r="I12" i="6"/>
  <c r="I15" i="6"/>
  <c r="I10" i="6"/>
  <c r="K10" i="6"/>
  <c r="L9" i="6"/>
  <c r="K9" i="6"/>
  <c r="J9" i="6"/>
  <c r="I9" i="6"/>
  <c r="F9" i="6"/>
  <c r="E8" i="6"/>
  <c r="G8" i="6"/>
  <c r="H7" i="6"/>
  <c r="H9" i="6"/>
  <c r="H15" i="6"/>
  <c r="E7" i="6"/>
  <c r="G7" i="6"/>
  <c r="E6" i="6"/>
  <c r="G6" i="6"/>
  <c r="E5" i="6"/>
  <c r="G5" i="6"/>
  <c r="E4" i="6"/>
  <c r="G4" i="6"/>
  <c r="I12" i="2"/>
  <c r="K12" i="2"/>
  <c r="K13" i="2"/>
  <c r="K16" i="2"/>
  <c r="I11" i="2"/>
  <c r="K11" i="2"/>
  <c r="E6" i="2"/>
  <c r="G6" i="2"/>
  <c r="E7" i="2"/>
  <c r="G7" i="2"/>
  <c r="G10" i="2"/>
  <c r="G16" i="2"/>
  <c r="E8" i="2"/>
  <c r="G8" i="2"/>
  <c r="E9" i="2"/>
  <c r="G9" i="2"/>
  <c r="E5" i="2"/>
  <c r="G5" i="2"/>
  <c r="C13" i="2"/>
  <c r="F13" i="2"/>
  <c r="F16" i="2"/>
  <c r="E13" i="2"/>
  <c r="L13" i="2"/>
  <c r="J13" i="2"/>
  <c r="J16" i="2"/>
  <c r="H13" i="2"/>
  <c r="H16" i="2"/>
  <c r="G13" i="2"/>
  <c r="L10" i="2"/>
  <c r="K10" i="2"/>
  <c r="J10" i="2"/>
  <c r="I10" i="2"/>
  <c r="H8" i="2"/>
  <c r="F10" i="2"/>
  <c r="D13" i="4"/>
  <c r="G10" i="4"/>
  <c r="H10" i="4"/>
  <c r="I10" i="4"/>
  <c r="J10" i="4"/>
  <c r="C13" i="4"/>
  <c r="C16" i="4"/>
  <c r="D13" i="1"/>
  <c r="C13" i="1"/>
  <c r="G10" i="1"/>
  <c r="H10" i="1"/>
  <c r="I10" i="1"/>
  <c r="J10" i="1"/>
  <c r="J12" i="4"/>
  <c r="J13" i="4"/>
  <c r="J16" i="4"/>
  <c r="J11" i="4"/>
  <c r="I12" i="4"/>
  <c r="I13" i="4"/>
  <c r="I16" i="4"/>
  <c r="I11" i="4"/>
  <c r="G12" i="4"/>
  <c r="H12" i="4"/>
  <c r="H11" i="4"/>
  <c r="H13" i="4"/>
  <c r="H16" i="4"/>
  <c r="G11" i="4"/>
  <c r="G13" i="4"/>
  <c r="G16" i="4"/>
  <c r="E12" i="4"/>
  <c r="E13" i="4"/>
  <c r="E11" i="4"/>
  <c r="E9" i="4"/>
  <c r="E8" i="4"/>
  <c r="E7" i="4"/>
  <c r="E10" i="4"/>
  <c r="F12" i="4"/>
  <c r="F11" i="4"/>
  <c r="F13" i="4"/>
  <c r="F16" i="4"/>
  <c r="F8" i="4"/>
  <c r="F6" i="4"/>
  <c r="F9" i="4"/>
  <c r="F7" i="4"/>
  <c r="F10" i="4"/>
  <c r="D6" i="4"/>
  <c r="D9" i="4"/>
  <c r="D8" i="4"/>
  <c r="D7" i="4"/>
  <c r="D5" i="4"/>
  <c r="D10" i="4"/>
  <c r="C8" i="4"/>
  <c r="C7" i="4"/>
  <c r="C8" i="1"/>
  <c r="C6" i="4"/>
  <c r="C9" i="4"/>
  <c r="C5" i="4"/>
  <c r="C10" i="4"/>
  <c r="I12" i="1"/>
  <c r="I13" i="1"/>
  <c r="I16" i="1"/>
  <c r="I11" i="1"/>
  <c r="J12" i="1"/>
  <c r="K12" i="1"/>
  <c r="K13" i="1"/>
  <c r="K16" i="1"/>
  <c r="J11" i="1"/>
  <c r="J13" i="1"/>
  <c r="J16" i="1"/>
  <c r="H11" i="1"/>
  <c r="H13" i="1"/>
  <c r="H16" i="1"/>
  <c r="E13" i="1"/>
  <c r="E16" i="1"/>
  <c r="E9" i="1"/>
  <c r="E8" i="1"/>
  <c r="E7" i="1"/>
  <c r="E10" i="1"/>
  <c r="F6" i="1"/>
  <c r="F9" i="1"/>
  <c r="F8" i="1"/>
  <c r="F10" i="1"/>
  <c r="F7" i="1"/>
  <c r="C9" i="1"/>
  <c r="C6" i="1"/>
  <c r="C10" i="1"/>
  <c r="C7" i="1"/>
  <c r="C5" i="1"/>
  <c r="D6" i="1"/>
  <c r="D9" i="1"/>
  <c r="D8" i="1"/>
  <c r="D7" i="1"/>
  <c r="D5" i="1"/>
  <c r="D10" i="1"/>
  <c r="D16" i="1"/>
  <c r="H10" i="2"/>
  <c r="J15" i="6"/>
  <c r="Q15" i="6"/>
  <c r="F15" i="6"/>
  <c r="L15" i="6"/>
  <c r="M12" i="2"/>
  <c r="M13" i="2"/>
  <c r="M16" i="2"/>
  <c r="K12" i="4"/>
  <c r="K13" i="4"/>
  <c r="K16" i="4"/>
  <c r="D16" i="4"/>
  <c r="C16" i="1"/>
  <c r="G9" i="6"/>
  <c r="G15" i="6"/>
  <c r="E16" i="4"/>
  <c r="F16" i="1"/>
  <c r="O12" i="2"/>
  <c r="O13" i="2"/>
  <c r="O16" i="2"/>
  <c r="E10" i="2"/>
  <c r="E16" i="2"/>
  <c r="I13" i="2"/>
  <c r="I16" i="2"/>
  <c r="E9" i="6"/>
  <c r="E15" i="6"/>
  <c r="V15" i="6"/>
  <c r="K11" i="6"/>
  <c r="K12" i="6"/>
  <c r="K15" i="6"/>
  <c r="M11" i="6"/>
  <c r="O11" i="6"/>
  <c r="O12" i="6"/>
  <c r="O15" i="6"/>
  <c r="M12" i="6"/>
  <c r="M15" i="6"/>
</calcChain>
</file>

<file path=xl/sharedStrings.xml><?xml version="1.0" encoding="utf-8"?>
<sst xmlns="http://schemas.openxmlformats.org/spreadsheetml/2006/main" count="295" uniqueCount="43">
  <si>
    <t>Sl.no</t>
  </si>
  <si>
    <t>District</t>
  </si>
  <si>
    <t>2007-08</t>
  </si>
  <si>
    <t>2008-09</t>
  </si>
  <si>
    <t>Target</t>
  </si>
  <si>
    <t>Achievement</t>
  </si>
  <si>
    <t>2009-10</t>
  </si>
  <si>
    <t>2010-11</t>
  </si>
  <si>
    <t>Dharwad</t>
  </si>
  <si>
    <t>Bagalkot</t>
  </si>
  <si>
    <t>Haveri</t>
  </si>
  <si>
    <t>Gadag</t>
  </si>
  <si>
    <t>Bijapur</t>
  </si>
  <si>
    <t>UttarKannada</t>
  </si>
  <si>
    <t>Belgaum</t>
  </si>
  <si>
    <t>X Plan Total</t>
  </si>
  <si>
    <t>XI Plan Total</t>
  </si>
  <si>
    <t>2006-07</t>
  </si>
  <si>
    <t>year wise RHH electrification</t>
  </si>
  <si>
    <t>HUBLI ELECTRICITY SUPPLY COMPANY LIMITED</t>
  </si>
  <si>
    <t>Year wise progress of  village intensive electrification under RGGVY Scheme</t>
  </si>
  <si>
    <t>Year wise progress of Habitation electrification under RGGVY Scheme</t>
  </si>
  <si>
    <t>Year wise progress of BPL electrification under RGGVY Scheme</t>
  </si>
  <si>
    <t>2011-12</t>
  </si>
  <si>
    <t>2012-13</t>
  </si>
  <si>
    <t>2013-14</t>
  </si>
  <si>
    <t>XII Plan</t>
  </si>
  <si>
    <t>2014-15</t>
  </si>
  <si>
    <t>2015-16</t>
  </si>
  <si>
    <t>2016-17</t>
  </si>
  <si>
    <t>REMARKS</t>
  </si>
  <si>
    <t>10th Plan Scheme completed in FY 2008-09</t>
  </si>
  <si>
    <t>11th Plan Scheme completed in FY 2011-12</t>
  </si>
  <si>
    <t>Grant Total</t>
  </si>
  <si>
    <t>2017-18</t>
  </si>
  <si>
    <t>12th Plan Scheme completed in FY 2017-18</t>
  </si>
  <si>
    <t>Gangakalyan Borewells serviced from FY 2012-13 to 2018-19 (As on Februarry-2019)</t>
  </si>
  <si>
    <t>Sl.No</t>
  </si>
  <si>
    <t>2018-19 (As on Feb-19)</t>
  </si>
  <si>
    <t>Progress</t>
  </si>
  <si>
    <t>-</t>
  </si>
  <si>
    <t>Uttarkannada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</si>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</sst>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3" fillId="0" borderId="1" xfId="0" applyFont="1" applyBorder="1"/>
    <xf numFmtId="0" fontId="3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23"/>
  <sheetViews>
    <sheetView view="pageBreakPreview" zoomScale="60" zoomScaleNormal="60" workbookViewId="0">
      <pane xSplit="2" ySplit="4" topLeftCell="F5" activePane="bottomRight" state="frozen"/>
      <selection pane="topRight" activeCell="C1" sqref="C1"/>
      <selection pane="bottomLeft" activeCell="A5" sqref="A5"/>
      <selection pane="bottomRight" activeCell="X16" sqref="X16"/>
    </sheetView>
  </sheetViews>
  <sheetFormatPr defaultRowHeight="15" x14ac:dyDescent="0.25"/>
  <cols>
    <col min="1" max="1" width="6" style="8" customWidth="1"/>
    <col min="2" max="2" width="13.140625" customWidth="1"/>
    <col min="3" max="3" width="9.140625" style="9"/>
    <col min="4" max="4" width="14.140625" style="9" customWidth="1"/>
    <col min="5" max="5" width="9.140625" style="9"/>
    <col min="6" max="6" width="13.140625" style="9" customWidth="1"/>
    <col min="7" max="7" width="9.140625" style="9"/>
    <col min="8" max="8" width="13.5703125" style="9" customWidth="1"/>
    <col min="9" max="9" width="11.42578125" style="9" customWidth="1"/>
    <col min="10" max="10" width="14.28515625" style="9" customWidth="1"/>
    <col min="11" max="11" width="10.85546875" style="9" customWidth="1"/>
    <col min="12" max="12" width="12.42578125" style="9" customWidth="1"/>
    <col min="13" max="16" width="11.42578125" style="9" customWidth="1"/>
    <col min="17" max="20" width="12.140625" style="9" customWidth="1"/>
    <col min="21" max="21" width="14.5703125" style="9" customWidth="1"/>
    <col min="22" max="22" width="21.85546875" style="9" customWidth="1"/>
    <col min="23" max="23" width="14.5703125" style="9" customWidth="1"/>
    <col min="24" max="24" width="21.85546875" style="9" customWidth="1"/>
  </cols>
  <sheetData>
    <row r="1" spans="1:24" ht="21" x14ac:dyDescent="0.3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24" ht="17.25" x14ac:dyDescent="0.3">
      <c r="A2" s="51" t="s">
        <v>20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24" s="15" customFormat="1" ht="63" customHeight="1" x14ac:dyDescent="0.25">
      <c r="A3" s="47" t="s">
        <v>0</v>
      </c>
      <c r="B3" s="47" t="s">
        <v>1</v>
      </c>
      <c r="C3" s="47" t="s">
        <v>2</v>
      </c>
      <c r="D3" s="47"/>
      <c r="E3" s="47" t="s">
        <v>3</v>
      </c>
      <c r="F3" s="47"/>
      <c r="G3" s="47" t="s">
        <v>6</v>
      </c>
      <c r="H3" s="47"/>
      <c r="I3" s="47" t="s">
        <v>7</v>
      </c>
      <c r="J3" s="47"/>
      <c r="K3" s="47" t="s">
        <v>23</v>
      </c>
      <c r="L3" s="47"/>
      <c r="M3" s="47" t="s">
        <v>24</v>
      </c>
      <c r="N3" s="47"/>
      <c r="O3" s="47" t="s">
        <v>25</v>
      </c>
      <c r="P3" s="47"/>
      <c r="Q3" s="47" t="s">
        <v>27</v>
      </c>
      <c r="R3" s="47"/>
      <c r="S3" s="47" t="s">
        <v>28</v>
      </c>
      <c r="T3" s="47"/>
      <c r="U3" s="47" t="s">
        <v>29</v>
      </c>
      <c r="V3" s="47"/>
      <c r="W3" s="47" t="s">
        <v>34</v>
      </c>
      <c r="X3" s="47"/>
    </row>
    <row r="4" spans="1:24" s="15" customFormat="1" ht="63" customHeight="1" x14ac:dyDescent="0.25">
      <c r="A4" s="47"/>
      <c r="B4" s="47"/>
      <c r="C4" s="22" t="s">
        <v>4</v>
      </c>
      <c r="D4" s="22" t="s">
        <v>5</v>
      </c>
      <c r="E4" s="22" t="s">
        <v>4</v>
      </c>
      <c r="F4" s="22" t="s">
        <v>5</v>
      </c>
      <c r="G4" s="22" t="s">
        <v>4</v>
      </c>
      <c r="H4" s="22" t="s">
        <v>5</v>
      </c>
      <c r="I4" s="22" t="s">
        <v>4</v>
      </c>
      <c r="J4" s="22" t="s">
        <v>5</v>
      </c>
      <c r="K4" s="22" t="s">
        <v>4</v>
      </c>
      <c r="L4" s="22" t="s">
        <v>5</v>
      </c>
      <c r="M4" s="22" t="s">
        <v>4</v>
      </c>
      <c r="N4" s="22" t="s">
        <v>5</v>
      </c>
      <c r="O4" s="22" t="s">
        <v>4</v>
      </c>
      <c r="P4" s="22" t="s">
        <v>5</v>
      </c>
      <c r="Q4" s="22" t="s">
        <v>4</v>
      </c>
      <c r="R4" s="22" t="s">
        <v>5</v>
      </c>
      <c r="S4" s="22" t="s">
        <v>4</v>
      </c>
      <c r="T4" s="22" t="s">
        <v>5</v>
      </c>
      <c r="U4" s="22" t="s">
        <v>4</v>
      </c>
      <c r="V4" s="22" t="s">
        <v>5</v>
      </c>
      <c r="W4" s="30" t="s">
        <v>4</v>
      </c>
      <c r="X4" s="30" t="s">
        <v>5</v>
      </c>
    </row>
    <row r="5" spans="1:24" ht="63" customHeight="1" x14ac:dyDescent="0.25">
      <c r="A5" s="16">
        <v>1</v>
      </c>
      <c r="B5" s="5" t="s">
        <v>8</v>
      </c>
      <c r="C5" s="12">
        <f>376-364</f>
        <v>12</v>
      </c>
      <c r="D5" s="12">
        <f>376-364</f>
        <v>12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</row>
    <row r="6" spans="1:24" ht="63" customHeight="1" x14ac:dyDescent="0.25">
      <c r="A6" s="16">
        <v>2</v>
      </c>
      <c r="B6" s="5" t="s">
        <v>9</v>
      </c>
      <c r="C6" s="12">
        <f>604-550</f>
        <v>54</v>
      </c>
      <c r="D6" s="12">
        <f>604-550</f>
        <v>54</v>
      </c>
      <c r="E6" s="12">
        <v>0</v>
      </c>
      <c r="F6" s="12">
        <f>604-604</f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</row>
    <row r="7" spans="1:24" ht="63" customHeight="1" x14ac:dyDescent="0.25">
      <c r="A7" s="16">
        <v>3</v>
      </c>
      <c r="B7" s="5" t="s">
        <v>10</v>
      </c>
      <c r="C7" s="12">
        <f>690-655</f>
        <v>35</v>
      </c>
      <c r="D7" s="12">
        <f>672-655</f>
        <v>17</v>
      </c>
      <c r="E7" s="12">
        <f>690-672</f>
        <v>18</v>
      </c>
      <c r="F7" s="12">
        <f>682-672</f>
        <v>10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</row>
    <row r="8" spans="1:24" ht="63" customHeight="1" x14ac:dyDescent="0.25">
      <c r="A8" s="16">
        <v>4</v>
      </c>
      <c r="B8" s="5" t="s">
        <v>11</v>
      </c>
      <c r="C8" s="12">
        <f>321-121</f>
        <v>200</v>
      </c>
      <c r="D8" s="12">
        <f>306-121</f>
        <v>185</v>
      </c>
      <c r="E8" s="12">
        <f>321-306</f>
        <v>15</v>
      </c>
      <c r="F8" s="12">
        <f>318-306</f>
        <v>12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</row>
    <row r="9" spans="1:24" ht="63" customHeight="1" x14ac:dyDescent="0.25">
      <c r="A9" s="16">
        <v>5</v>
      </c>
      <c r="B9" s="5" t="s">
        <v>12</v>
      </c>
      <c r="C9" s="12">
        <f>665-374</f>
        <v>291</v>
      </c>
      <c r="D9" s="12">
        <f>558-374</f>
        <v>184</v>
      </c>
      <c r="E9" s="12">
        <f>665-558</f>
        <v>107</v>
      </c>
      <c r="F9" s="12">
        <f>583-558</f>
        <v>25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</row>
    <row r="10" spans="1:24" s="4" customFormat="1" ht="63" customHeight="1" x14ac:dyDescent="0.25">
      <c r="A10" s="53" t="s">
        <v>15</v>
      </c>
      <c r="B10" s="53"/>
      <c r="C10" s="21">
        <f>SUM(C5:C9)</f>
        <v>592</v>
      </c>
      <c r="D10" s="21">
        <f t="shared" ref="D10:J10" si="0">SUM(D5:D9)</f>
        <v>452</v>
      </c>
      <c r="E10" s="21">
        <f t="shared" si="0"/>
        <v>140</v>
      </c>
      <c r="F10" s="21">
        <f t="shared" si="0"/>
        <v>47</v>
      </c>
      <c r="G10" s="21">
        <f t="shared" si="0"/>
        <v>0</v>
      </c>
      <c r="H10" s="21">
        <f t="shared" si="0"/>
        <v>0</v>
      </c>
      <c r="I10" s="21">
        <f t="shared" si="0"/>
        <v>0</v>
      </c>
      <c r="J10" s="21">
        <f t="shared" si="0"/>
        <v>0</v>
      </c>
      <c r="K10" s="21">
        <f t="shared" ref="K10:P10" si="1">SUM(K5:K9)</f>
        <v>0</v>
      </c>
      <c r="L10" s="21">
        <f t="shared" si="1"/>
        <v>0</v>
      </c>
      <c r="M10" s="21">
        <f t="shared" si="1"/>
        <v>0</v>
      </c>
      <c r="N10" s="21">
        <f t="shared" si="1"/>
        <v>0</v>
      </c>
      <c r="O10" s="21">
        <f t="shared" si="1"/>
        <v>0</v>
      </c>
      <c r="P10" s="21">
        <f t="shared" si="1"/>
        <v>0</v>
      </c>
      <c r="Q10" s="21">
        <f t="shared" ref="Q10:V10" si="2">SUM(Q5:Q9)</f>
        <v>0</v>
      </c>
      <c r="R10" s="21">
        <f t="shared" si="2"/>
        <v>0</v>
      </c>
      <c r="S10" s="21">
        <f t="shared" si="2"/>
        <v>0</v>
      </c>
      <c r="T10" s="21">
        <f t="shared" si="2"/>
        <v>0</v>
      </c>
      <c r="U10" s="21">
        <f t="shared" si="2"/>
        <v>0</v>
      </c>
      <c r="V10" s="21">
        <f t="shared" si="2"/>
        <v>0</v>
      </c>
      <c r="W10" s="33">
        <f>SUM(W5:W9)</f>
        <v>0</v>
      </c>
      <c r="X10" s="33">
        <f>SUM(X5:X9)</f>
        <v>0</v>
      </c>
    </row>
    <row r="11" spans="1:24" ht="63" customHeight="1" x14ac:dyDescent="0.25">
      <c r="A11" s="16">
        <v>6</v>
      </c>
      <c r="B11" s="5" t="s">
        <v>13</v>
      </c>
      <c r="C11" s="12">
        <v>1248</v>
      </c>
      <c r="D11" s="12">
        <v>144</v>
      </c>
      <c r="E11" s="12">
        <f>1248-144</f>
        <v>1104</v>
      </c>
      <c r="F11" s="12">
        <f>477-144</f>
        <v>333</v>
      </c>
      <c r="G11" s="12">
        <f>1219-477</f>
        <v>742</v>
      </c>
      <c r="H11" s="12">
        <f>619-477</f>
        <v>142</v>
      </c>
      <c r="I11" s="12">
        <f>1219-619</f>
        <v>600</v>
      </c>
      <c r="J11" s="12">
        <f>728-619</f>
        <v>109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</row>
    <row r="12" spans="1:24" ht="63" customHeight="1" x14ac:dyDescent="0.25">
      <c r="A12" s="16">
        <v>7</v>
      </c>
      <c r="B12" s="5" t="s">
        <v>14</v>
      </c>
      <c r="C12" s="12">
        <v>1136</v>
      </c>
      <c r="D12" s="12">
        <v>147</v>
      </c>
      <c r="E12" s="12">
        <f>1136-147</f>
        <v>989</v>
      </c>
      <c r="F12" s="12">
        <f>456-147</f>
        <v>309</v>
      </c>
      <c r="G12" s="12">
        <f>1131-456</f>
        <v>675</v>
      </c>
      <c r="H12" s="12">
        <f>883-456</f>
        <v>427</v>
      </c>
      <c r="I12" s="12">
        <f>1131-883</f>
        <v>248</v>
      </c>
      <c r="J12" s="12">
        <f>961-883</f>
        <v>78</v>
      </c>
      <c r="K12" s="12">
        <f>+I12-J12</f>
        <v>170</v>
      </c>
      <c r="L12" s="12">
        <v>86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</row>
    <row r="13" spans="1:24" s="4" customFormat="1" ht="63" customHeight="1" x14ac:dyDescent="0.25">
      <c r="A13" s="53" t="s">
        <v>16</v>
      </c>
      <c r="B13" s="53"/>
      <c r="C13" s="21">
        <f>+C12+C11</f>
        <v>2384</v>
      </c>
      <c r="D13" s="21">
        <f t="shared" ref="D13:P13" si="3">+D12+D11</f>
        <v>291</v>
      </c>
      <c r="E13" s="21">
        <f t="shared" si="3"/>
        <v>2093</v>
      </c>
      <c r="F13" s="21">
        <f t="shared" si="3"/>
        <v>642</v>
      </c>
      <c r="G13" s="21">
        <f t="shared" si="3"/>
        <v>1417</v>
      </c>
      <c r="H13" s="21">
        <f t="shared" si="3"/>
        <v>569</v>
      </c>
      <c r="I13" s="21">
        <f t="shared" si="3"/>
        <v>848</v>
      </c>
      <c r="J13" s="21">
        <f t="shared" si="3"/>
        <v>187</v>
      </c>
      <c r="K13" s="21">
        <f t="shared" si="3"/>
        <v>170</v>
      </c>
      <c r="L13" s="21">
        <f t="shared" si="3"/>
        <v>86</v>
      </c>
      <c r="M13" s="21">
        <f t="shared" si="3"/>
        <v>0</v>
      </c>
      <c r="N13" s="21">
        <f t="shared" si="3"/>
        <v>0</v>
      </c>
      <c r="O13" s="21">
        <f t="shared" si="3"/>
        <v>0</v>
      </c>
      <c r="P13" s="21">
        <f t="shared" si="3"/>
        <v>0</v>
      </c>
      <c r="Q13" s="21">
        <f t="shared" ref="Q13:V13" si="4">+Q12+Q11</f>
        <v>0</v>
      </c>
      <c r="R13" s="21">
        <f t="shared" si="4"/>
        <v>0</v>
      </c>
      <c r="S13" s="21">
        <f t="shared" si="4"/>
        <v>0</v>
      </c>
      <c r="T13" s="21">
        <f t="shared" si="4"/>
        <v>0</v>
      </c>
      <c r="U13" s="21">
        <f t="shared" si="4"/>
        <v>0</v>
      </c>
      <c r="V13" s="21">
        <f t="shared" si="4"/>
        <v>0</v>
      </c>
      <c r="W13" s="33">
        <f>+W12+W11</f>
        <v>0</v>
      </c>
      <c r="X13" s="33">
        <f>+X12+X11</f>
        <v>0</v>
      </c>
    </row>
    <row r="14" spans="1:24" s="27" customFormat="1" ht="63" customHeight="1" x14ac:dyDescent="0.25">
      <c r="A14" s="25">
        <v>8</v>
      </c>
      <c r="B14" s="26" t="s">
        <v>10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25">
        <v>0</v>
      </c>
      <c r="T14" s="25">
        <v>0</v>
      </c>
      <c r="U14" s="25">
        <v>692</v>
      </c>
      <c r="V14" s="25">
        <v>3</v>
      </c>
      <c r="W14" s="32">
        <v>692</v>
      </c>
      <c r="X14" s="32">
        <v>573</v>
      </c>
    </row>
    <row r="15" spans="1:24" ht="63" customHeight="1" x14ac:dyDescent="0.25">
      <c r="A15" s="46" t="s">
        <v>26</v>
      </c>
      <c r="B15" s="46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24">
        <f>+S14</f>
        <v>0</v>
      </c>
      <c r="T15" s="25">
        <f>+T14</f>
        <v>0</v>
      </c>
      <c r="U15" s="25">
        <f>+U14</f>
        <v>692</v>
      </c>
      <c r="V15" s="25">
        <f>+V14</f>
        <v>3</v>
      </c>
      <c r="W15" s="32">
        <f>+W14</f>
        <v>692</v>
      </c>
      <c r="X15" s="32">
        <v>573</v>
      </c>
    </row>
    <row r="16" spans="1:24" s="28" customFormat="1" ht="63" customHeight="1" x14ac:dyDescent="0.25">
      <c r="A16" s="46" t="s">
        <v>33</v>
      </c>
      <c r="B16" s="46"/>
      <c r="C16" s="29">
        <f>+C13+C10</f>
        <v>2976</v>
      </c>
      <c r="D16" s="29">
        <f t="shared" ref="D16:R16" si="5">+D13+D10</f>
        <v>743</v>
      </c>
      <c r="E16" s="29">
        <f t="shared" si="5"/>
        <v>2233</v>
      </c>
      <c r="F16" s="29">
        <f t="shared" si="5"/>
        <v>689</v>
      </c>
      <c r="G16" s="29">
        <f t="shared" si="5"/>
        <v>1417</v>
      </c>
      <c r="H16" s="29">
        <f t="shared" si="5"/>
        <v>569</v>
      </c>
      <c r="I16" s="29">
        <f t="shared" si="5"/>
        <v>848</v>
      </c>
      <c r="J16" s="29">
        <f t="shared" si="5"/>
        <v>187</v>
      </c>
      <c r="K16" s="29">
        <f t="shared" si="5"/>
        <v>170</v>
      </c>
      <c r="L16" s="29">
        <f t="shared" si="5"/>
        <v>86</v>
      </c>
      <c r="M16" s="29">
        <f t="shared" si="5"/>
        <v>0</v>
      </c>
      <c r="N16" s="29">
        <f t="shared" si="5"/>
        <v>0</v>
      </c>
      <c r="O16" s="29">
        <f t="shared" si="5"/>
        <v>0</v>
      </c>
      <c r="P16" s="29">
        <f t="shared" si="5"/>
        <v>0</v>
      </c>
      <c r="Q16" s="29">
        <f t="shared" si="5"/>
        <v>0</v>
      </c>
      <c r="R16" s="29">
        <f t="shared" si="5"/>
        <v>0</v>
      </c>
      <c r="S16" s="29">
        <f t="shared" ref="S16:X16" si="6">+S13+S10+S15</f>
        <v>0</v>
      </c>
      <c r="T16" s="29">
        <f t="shared" si="6"/>
        <v>0</v>
      </c>
      <c r="U16" s="29">
        <f t="shared" si="6"/>
        <v>692</v>
      </c>
      <c r="V16" s="29">
        <f t="shared" si="6"/>
        <v>3</v>
      </c>
      <c r="W16" s="31">
        <f t="shared" si="6"/>
        <v>692</v>
      </c>
      <c r="X16" s="31">
        <f t="shared" si="6"/>
        <v>573</v>
      </c>
    </row>
    <row r="22" spans="22:24" x14ac:dyDescent="0.25">
      <c r="V22" s="9">
        <v>2303</v>
      </c>
      <c r="X22" s="9">
        <v>2303</v>
      </c>
    </row>
    <row r="23" spans="22:24" x14ac:dyDescent="0.25">
      <c r="V23" s="9">
        <f>+V22-350</f>
        <v>1953</v>
      </c>
      <c r="X23" s="9">
        <f>+X22-350</f>
        <v>1953</v>
      </c>
    </row>
  </sheetData>
  <mergeCells count="21">
    <mergeCell ref="C15:R15"/>
    <mergeCell ref="A10:B10"/>
    <mergeCell ref="A13:B13"/>
    <mergeCell ref="C3:D3"/>
    <mergeCell ref="E3:F3"/>
    <mergeCell ref="K3:L3"/>
    <mergeCell ref="G3:H3"/>
    <mergeCell ref="A1:P1"/>
    <mergeCell ref="A2:P2"/>
    <mergeCell ref="I3:J3"/>
    <mergeCell ref="A3:A4"/>
    <mergeCell ref="A16:B16"/>
    <mergeCell ref="A15:B15"/>
    <mergeCell ref="Q3:R3"/>
    <mergeCell ref="S3:T3"/>
    <mergeCell ref="W3:X3"/>
    <mergeCell ref="U3:V3"/>
    <mergeCell ref="O3:P3"/>
    <mergeCell ref="C14:R14"/>
    <mergeCell ref="B3:B4"/>
    <mergeCell ref="M3:N3"/>
  </mergeCells>
  <printOptions horizontalCentered="1"/>
  <pageMargins left="0.7" right="0.7" top="0.75" bottom="0.75" header="0.3" footer="0.3"/>
  <pageSetup paperSize="9" scale="43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0"/>
  <sheetViews>
    <sheetView view="pageBreakPreview" zoomScale="60" zoomScaleNormal="60" workbookViewId="0">
      <pane xSplit="2" ySplit="4" topLeftCell="E5" activePane="bottomRight" state="frozen"/>
      <selection pane="topRight" activeCell="C1" sqref="C1"/>
      <selection pane="bottomLeft" activeCell="A5" sqref="A5"/>
      <selection pane="bottomRight" activeCell="Y14" sqref="Y14:Y15"/>
    </sheetView>
  </sheetViews>
  <sheetFormatPr defaultRowHeight="15" x14ac:dyDescent="0.25"/>
  <cols>
    <col min="1" max="1" width="6.28515625" style="8" customWidth="1"/>
    <col min="2" max="2" width="13.42578125" style="36" customWidth="1"/>
    <col min="3" max="3" width="10.28515625" style="8" customWidth="1"/>
    <col min="4" max="4" width="12.85546875" style="8" bestFit="1" customWidth="1"/>
    <col min="5" max="5" width="9.140625" style="8"/>
    <col min="6" max="7" width="12.85546875" style="8" customWidth="1"/>
    <col min="8" max="8" width="13.140625" style="8" customWidth="1"/>
    <col min="9" max="9" width="11.85546875" style="8" customWidth="1"/>
    <col min="10" max="10" width="13.140625" style="8" customWidth="1"/>
    <col min="12" max="12" width="11.5703125" customWidth="1"/>
    <col min="13" max="13" width="11.7109375" customWidth="1"/>
    <col min="14" max="14" width="13.7109375" customWidth="1"/>
    <col min="15" max="16" width="12.28515625" customWidth="1"/>
    <col min="17" max="21" width="12.140625" style="9" customWidth="1"/>
    <col min="22" max="22" width="12.85546875" style="9" customWidth="1"/>
    <col min="23" max="23" width="12.140625" style="9" customWidth="1"/>
    <col min="24" max="24" width="12.85546875" style="9" customWidth="1"/>
    <col min="25" max="25" width="21.28515625" customWidth="1"/>
  </cols>
  <sheetData>
    <row r="1" spans="1:25" ht="28.5" x14ac:dyDescent="0.45">
      <c r="A1" s="63" t="s">
        <v>19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1:25" ht="33" customHeight="1" x14ac:dyDescent="0.25">
      <c r="A2" s="64" t="s">
        <v>21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ht="45.75" customHeight="1" x14ac:dyDescent="0.25">
      <c r="A3" s="61" t="s">
        <v>0</v>
      </c>
      <c r="B3" s="47" t="s">
        <v>1</v>
      </c>
      <c r="C3" s="47" t="s">
        <v>2</v>
      </c>
      <c r="D3" s="47"/>
      <c r="E3" s="47" t="s">
        <v>3</v>
      </c>
      <c r="F3" s="47"/>
      <c r="G3" s="47" t="s">
        <v>6</v>
      </c>
      <c r="H3" s="47"/>
      <c r="I3" s="47" t="s">
        <v>7</v>
      </c>
      <c r="J3" s="47"/>
      <c r="K3" s="47" t="s">
        <v>23</v>
      </c>
      <c r="L3" s="47"/>
      <c r="M3" s="47" t="s">
        <v>24</v>
      </c>
      <c r="N3" s="47"/>
      <c r="O3" s="47" t="s">
        <v>25</v>
      </c>
      <c r="P3" s="47"/>
      <c r="Q3" s="47" t="s">
        <v>27</v>
      </c>
      <c r="R3" s="47"/>
      <c r="S3" s="47" t="s">
        <v>28</v>
      </c>
      <c r="T3" s="47"/>
      <c r="U3" s="47" t="s">
        <v>29</v>
      </c>
      <c r="V3" s="47"/>
      <c r="W3" s="47" t="s">
        <v>34</v>
      </c>
      <c r="X3" s="47"/>
      <c r="Y3" s="47" t="s">
        <v>30</v>
      </c>
    </row>
    <row r="4" spans="1:25" ht="45.75" customHeight="1" x14ac:dyDescent="0.25">
      <c r="A4" s="62"/>
      <c r="B4" s="47"/>
      <c r="C4" s="11" t="s">
        <v>4</v>
      </c>
      <c r="D4" s="37" t="s">
        <v>5</v>
      </c>
      <c r="E4" s="11" t="s">
        <v>4</v>
      </c>
      <c r="F4" s="37" t="s">
        <v>5</v>
      </c>
      <c r="G4" s="11" t="s">
        <v>4</v>
      </c>
      <c r="H4" s="37" t="s">
        <v>5</v>
      </c>
      <c r="I4" s="11" t="s">
        <v>4</v>
      </c>
      <c r="J4" s="37" t="s">
        <v>5</v>
      </c>
      <c r="K4" s="20" t="s">
        <v>4</v>
      </c>
      <c r="L4" s="37" t="s">
        <v>5</v>
      </c>
      <c r="M4" s="37" t="s">
        <v>4</v>
      </c>
      <c r="N4" s="37" t="s">
        <v>5</v>
      </c>
      <c r="O4" s="20" t="s">
        <v>4</v>
      </c>
      <c r="P4" s="37" t="s">
        <v>5</v>
      </c>
      <c r="Q4" s="22" t="s">
        <v>4</v>
      </c>
      <c r="R4" s="37" t="s">
        <v>5</v>
      </c>
      <c r="S4" s="22" t="s">
        <v>4</v>
      </c>
      <c r="T4" s="37" t="s">
        <v>5</v>
      </c>
      <c r="U4" s="22" t="s">
        <v>4</v>
      </c>
      <c r="V4" s="37" t="s">
        <v>5</v>
      </c>
      <c r="W4" s="30" t="s">
        <v>4</v>
      </c>
      <c r="X4" s="37" t="s">
        <v>5</v>
      </c>
      <c r="Y4" s="47"/>
    </row>
    <row r="5" spans="1:25" s="15" customFormat="1" ht="45.75" customHeight="1" x14ac:dyDescent="0.35">
      <c r="A5" s="16">
        <v>1</v>
      </c>
      <c r="B5" s="35" t="s">
        <v>8</v>
      </c>
      <c r="C5" s="17">
        <f>388-378</f>
        <v>10</v>
      </c>
      <c r="D5" s="17">
        <f>378-378</f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12">
        <v>0</v>
      </c>
      <c r="W5" s="38">
        <v>0</v>
      </c>
      <c r="X5" s="12">
        <v>0</v>
      </c>
      <c r="Y5" s="54" t="s">
        <v>31</v>
      </c>
    </row>
    <row r="6" spans="1:25" s="15" customFormat="1" ht="45.75" customHeight="1" x14ac:dyDescent="0.35">
      <c r="A6" s="16">
        <v>2</v>
      </c>
      <c r="B6" s="35" t="s">
        <v>9</v>
      </c>
      <c r="C6" s="17">
        <f>538-420</f>
        <v>118</v>
      </c>
      <c r="D6" s="17">
        <f>420-420</f>
        <v>0</v>
      </c>
      <c r="E6" s="17">
        <v>118</v>
      </c>
      <c r="F6" s="17">
        <f>517-420</f>
        <v>97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12">
        <v>0</v>
      </c>
      <c r="W6" s="38">
        <v>0</v>
      </c>
      <c r="X6" s="12">
        <v>0</v>
      </c>
      <c r="Y6" s="54"/>
    </row>
    <row r="7" spans="1:25" s="15" customFormat="1" ht="45.75" customHeight="1" x14ac:dyDescent="0.35">
      <c r="A7" s="16">
        <v>3</v>
      </c>
      <c r="B7" s="35" t="s">
        <v>10</v>
      </c>
      <c r="C7" s="17">
        <f>168-121</f>
        <v>47</v>
      </c>
      <c r="D7" s="17">
        <f>132-121</f>
        <v>11</v>
      </c>
      <c r="E7" s="17">
        <f>168-132</f>
        <v>36</v>
      </c>
      <c r="F7" s="17">
        <f>168-132</f>
        <v>36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12">
        <v>0</v>
      </c>
      <c r="W7" s="38">
        <v>0</v>
      </c>
      <c r="X7" s="12">
        <v>0</v>
      </c>
      <c r="Y7" s="54"/>
    </row>
    <row r="8" spans="1:25" s="15" customFormat="1" ht="45.75" customHeight="1" x14ac:dyDescent="0.35">
      <c r="A8" s="16">
        <v>4</v>
      </c>
      <c r="B8" s="35" t="s">
        <v>11</v>
      </c>
      <c r="C8" s="17">
        <f>167-125</f>
        <v>42</v>
      </c>
      <c r="D8" s="17">
        <f>159-125</f>
        <v>34</v>
      </c>
      <c r="E8" s="17">
        <f>167-159</f>
        <v>8</v>
      </c>
      <c r="F8" s="17">
        <f>159-159</f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12">
        <v>0</v>
      </c>
      <c r="W8" s="38">
        <v>0</v>
      </c>
      <c r="X8" s="12">
        <v>0</v>
      </c>
      <c r="Y8" s="54"/>
    </row>
    <row r="9" spans="1:25" s="15" customFormat="1" ht="45.75" customHeight="1" x14ac:dyDescent="0.35">
      <c r="A9" s="16">
        <v>5</v>
      </c>
      <c r="B9" s="35" t="s">
        <v>12</v>
      </c>
      <c r="C9" s="17">
        <f>858-731</f>
        <v>127</v>
      </c>
      <c r="D9" s="17">
        <f>835-731</f>
        <v>104</v>
      </c>
      <c r="E9" s="17">
        <f>538-420</f>
        <v>118</v>
      </c>
      <c r="F9" s="17">
        <f>858-835</f>
        <v>23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12">
        <v>0</v>
      </c>
      <c r="W9" s="38">
        <v>0</v>
      </c>
      <c r="X9" s="12">
        <v>0</v>
      </c>
      <c r="Y9" s="54"/>
    </row>
    <row r="10" spans="1:25" s="4" customFormat="1" ht="45.75" customHeight="1" x14ac:dyDescent="0.35">
      <c r="A10" s="56" t="s">
        <v>15</v>
      </c>
      <c r="B10" s="57"/>
      <c r="C10" s="18">
        <f>SUM(C5:C9)</f>
        <v>344</v>
      </c>
      <c r="D10" s="18">
        <f t="shared" ref="D10:J10" si="0">SUM(D5:D9)</f>
        <v>149</v>
      </c>
      <c r="E10" s="18">
        <f t="shared" si="0"/>
        <v>280</v>
      </c>
      <c r="F10" s="18">
        <f t="shared" si="0"/>
        <v>156</v>
      </c>
      <c r="G10" s="18">
        <f t="shared" si="0"/>
        <v>0</v>
      </c>
      <c r="H10" s="18">
        <f t="shared" si="0"/>
        <v>0</v>
      </c>
      <c r="I10" s="18">
        <f t="shared" si="0"/>
        <v>0</v>
      </c>
      <c r="J10" s="18">
        <f t="shared" si="0"/>
        <v>0</v>
      </c>
      <c r="K10" s="18">
        <f t="shared" ref="K10:V10" si="1">SUM(K5:K9)</f>
        <v>0</v>
      </c>
      <c r="L10" s="18">
        <f t="shared" si="1"/>
        <v>0</v>
      </c>
      <c r="M10" s="18">
        <f t="shared" si="1"/>
        <v>0</v>
      </c>
      <c r="N10" s="18">
        <f t="shared" si="1"/>
        <v>0</v>
      </c>
      <c r="O10" s="18">
        <f t="shared" si="1"/>
        <v>0</v>
      </c>
      <c r="P10" s="18">
        <f t="shared" si="1"/>
        <v>0</v>
      </c>
      <c r="Q10" s="39">
        <f t="shared" si="1"/>
        <v>0</v>
      </c>
      <c r="R10" s="39">
        <f t="shared" si="1"/>
        <v>0</v>
      </c>
      <c r="S10" s="39">
        <f t="shared" si="1"/>
        <v>0</v>
      </c>
      <c r="T10" s="39">
        <f t="shared" si="1"/>
        <v>0</v>
      </c>
      <c r="U10" s="39">
        <f t="shared" si="1"/>
        <v>0</v>
      </c>
      <c r="V10" s="21">
        <f t="shared" si="1"/>
        <v>0</v>
      </c>
      <c r="W10" s="39">
        <f>SUM(W5:W9)</f>
        <v>0</v>
      </c>
      <c r="X10" s="33">
        <f>SUM(X5:X9)</f>
        <v>0</v>
      </c>
      <c r="Y10" s="54"/>
    </row>
    <row r="11" spans="1:25" s="15" customFormat="1" ht="45.75" customHeight="1" x14ac:dyDescent="0.35">
      <c r="A11" s="16">
        <v>6</v>
      </c>
      <c r="B11" s="35" t="s">
        <v>13</v>
      </c>
      <c r="C11" s="17">
        <v>604</v>
      </c>
      <c r="D11" s="17">
        <v>94</v>
      </c>
      <c r="E11" s="17">
        <f>604-94</f>
        <v>510</v>
      </c>
      <c r="F11" s="17">
        <f>442-94</f>
        <v>348</v>
      </c>
      <c r="G11" s="17">
        <f>604-440</f>
        <v>164</v>
      </c>
      <c r="H11" s="17">
        <f>592-442</f>
        <v>150</v>
      </c>
      <c r="I11" s="17">
        <f>604-592</f>
        <v>12</v>
      </c>
      <c r="J11" s="17">
        <f>604-592</f>
        <v>12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12">
        <v>0</v>
      </c>
      <c r="W11" s="38">
        <v>0</v>
      </c>
      <c r="X11" s="12">
        <v>0</v>
      </c>
      <c r="Y11" s="58" t="s">
        <v>32</v>
      </c>
    </row>
    <row r="12" spans="1:25" s="15" customFormat="1" ht="45.75" customHeight="1" x14ac:dyDescent="0.35">
      <c r="A12" s="16">
        <v>7</v>
      </c>
      <c r="B12" s="35" t="s">
        <v>14</v>
      </c>
      <c r="C12" s="17">
        <v>554</v>
      </c>
      <c r="D12" s="17">
        <v>107</v>
      </c>
      <c r="E12" s="17">
        <f>554-107</f>
        <v>447</v>
      </c>
      <c r="F12" s="17">
        <f>426-107</f>
        <v>319</v>
      </c>
      <c r="G12" s="17">
        <f>551-426</f>
        <v>125</v>
      </c>
      <c r="H12" s="17">
        <f>465-426</f>
        <v>39</v>
      </c>
      <c r="I12" s="17">
        <f>551-465</f>
        <v>86</v>
      </c>
      <c r="J12" s="17">
        <f>470-465</f>
        <v>5</v>
      </c>
      <c r="K12" s="17">
        <f>+I12-J12</f>
        <v>81</v>
      </c>
      <c r="L12" s="17">
        <v>15</v>
      </c>
      <c r="M12" s="17"/>
      <c r="N12" s="17">
        <v>0</v>
      </c>
      <c r="O12" s="17">
        <v>0</v>
      </c>
      <c r="P12" s="17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12">
        <v>0</v>
      </c>
      <c r="W12" s="38">
        <v>0</v>
      </c>
      <c r="X12" s="12">
        <v>0</v>
      </c>
      <c r="Y12" s="59"/>
    </row>
    <row r="13" spans="1:25" s="4" customFormat="1" ht="45.75" customHeight="1" x14ac:dyDescent="0.35">
      <c r="A13" s="56" t="s">
        <v>16</v>
      </c>
      <c r="B13" s="57"/>
      <c r="C13" s="18">
        <f>+C12+C11</f>
        <v>1158</v>
      </c>
      <c r="D13" s="18">
        <f t="shared" ref="D13:J13" si="2">+D12+D11</f>
        <v>201</v>
      </c>
      <c r="E13" s="18">
        <f t="shared" si="2"/>
        <v>957</v>
      </c>
      <c r="F13" s="18">
        <f t="shared" si="2"/>
        <v>667</v>
      </c>
      <c r="G13" s="18">
        <f t="shared" si="2"/>
        <v>289</v>
      </c>
      <c r="H13" s="18">
        <f t="shared" si="2"/>
        <v>189</v>
      </c>
      <c r="I13" s="18">
        <f t="shared" si="2"/>
        <v>98</v>
      </c>
      <c r="J13" s="18">
        <f t="shared" si="2"/>
        <v>17</v>
      </c>
      <c r="K13" s="18">
        <f t="shared" ref="K13:V13" si="3">+K12+K11</f>
        <v>81</v>
      </c>
      <c r="L13" s="18">
        <f t="shared" si="3"/>
        <v>15</v>
      </c>
      <c r="M13" s="18">
        <f t="shared" si="3"/>
        <v>0</v>
      </c>
      <c r="N13" s="18">
        <f t="shared" si="3"/>
        <v>0</v>
      </c>
      <c r="O13" s="18">
        <f t="shared" si="3"/>
        <v>0</v>
      </c>
      <c r="P13" s="18">
        <f t="shared" si="3"/>
        <v>0</v>
      </c>
      <c r="Q13" s="39">
        <f t="shared" si="3"/>
        <v>0</v>
      </c>
      <c r="R13" s="39">
        <f t="shared" si="3"/>
        <v>0</v>
      </c>
      <c r="S13" s="39">
        <f t="shared" si="3"/>
        <v>0</v>
      </c>
      <c r="T13" s="39">
        <f t="shared" si="3"/>
        <v>0</v>
      </c>
      <c r="U13" s="39">
        <f t="shared" si="3"/>
        <v>0</v>
      </c>
      <c r="V13" s="21">
        <f t="shared" si="3"/>
        <v>0</v>
      </c>
      <c r="W13" s="39">
        <f>+W12+W11</f>
        <v>0</v>
      </c>
      <c r="X13" s="33">
        <f>+X12+X11</f>
        <v>0</v>
      </c>
      <c r="Y13" s="60"/>
    </row>
    <row r="14" spans="1:25" s="27" customFormat="1" ht="45.75" customHeight="1" x14ac:dyDescent="0.25">
      <c r="A14" s="25">
        <v>8</v>
      </c>
      <c r="B14" s="35" t="s">
        <v>10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17">
        <v>0</v>
      </c>
      <c r="T14" s="17">
        <v>0</v>
      </c>
      <c r="U14" s="17">
        <v>702</v>
      </c>
      <c r="V14" s="25">
        <v>2</v>
      </c>
      <c r="W14" s="40">
        <v>702</v>
      </c>
      <c r="X14" s="32">
        <v>584</v>
      </c>
      <c r="Y14" s="54" t="s">
        <v>35</v>
      </c>
    </row>
    <row r="15" spans="1:25" ht="45.75" customHeight="1" x14ac:dyDescent="0.35">
      <c r="A15" s="46" t="s">
        <v>26</v>
      </c>
      <c r="B15" s="46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38">
        <f t="shared" ref="S15:X15" si="4">+S14</f>
        <v>0</v>
      </c>
      <c r="T15" s="38">
        <f t="shared" si="4"/>
        <v>0</v>
      </c>
      <c r="U15" s="38">
        <f t="shared" si="4"/>
        <v>702</v>
      </c>
      <c r="V15" s="24">
        <f t="shared" si="4"/>
        <v>2</v>
      </c>
      <c r="W15" s="38">
        <f t="shared" si="4"/>
        <v>702</v>
      </c>
      <c r="X15" s="34">
        <f t="shared" si="4"/>
        <v>584</v>
      </c>
      <c r="Y15" s="54"/>
    </row>
    <row r="16" spans="1:25" s="28" customFormat="1" ht="45.75" customHeight="1" x14ac:dyDescent="0.25">
      <c r="A16" s="46" t="s">
        <v>33</v>
      </c>
      <c r="B16" s="46"/>
      <c r="C16" s="41">
        <f>+C13+C10</f>
        <v>1502</v>
      </c>
      <c r="D16" s="41">
        <f t="shared" ref="D16:R16" si="5">+D13+D10</f>
        <v>350</v>
      </c>
      <c r="E16" s="41">
        <f t="shared" si="5"/>
        <v>1237</v>
      </c>
      <c r="F16" s="41">
        <f t="shared" si="5"/>
        <v>823</v>
      </c>
      <c r="G16" s="41">
        <f t="shared" si="5"/>
        <v>289</v>
      </c>
      <c r="H16" s="41">
        <f t="shared" si="5"/>
        <v>189</v>
      </c>
      <c r="I16" s="41">
        <f t="shared" si="5"/>
        <v>98</v>
      </c>
      <c r="J16" s="41">
        <f t="shared" si="5"/>
        <v>17</v>
      </c>
      <c r="K16" s="41">
        <f t="shared" si="5"/>
        <v>81</v>
      </c>
      <c r="L16" s="41">
        <f t="shared" si="5"/>
        <v>15</v>
      </c>
      <c r="M16" s="41">
        <f t="shared" si="5"/>
        <v>0</v>
      </c>
      <c r="N16" s="41">
        <f t="shared" si="5"/>
        <v>0</v>
      </c>
      <c r="O16" s="41">
        <f t="shared" si="5"/>
        <v>0</v>
      </c>
      <c r="P16" s="41">
        <f t="shared" si="5"/>
        <v>0</v>
      </c>
      <c r="Q16" s="41">
        <f t="shared" si="5"/>
        <v>0</v>
      </c>
      <c r="R16" s="41">
        <f t="shared" si="5"/>
        <v>0</v>
      </c>
      <c r="S16" s="41">
        <f t="shared" ref="S16:X16" si="6">+S13+S10+S15</f>
        <v>0</v>
      </c>
      <c r="T16" s="41">
        <f t="shared" si="6"/>
        <v>0</v>
      </c>
      <c r="U16" s="41">
        <f t="shared" si="6"/>
        <v>702</v>
      </c>
      <c r="V16" s="41">
        <f t="shared" si="6"/>
        <v>2</v>
      </c>
      <c r="W16" s="41">
        <f t="shared" si="6"/>
        <v>702</v>
      </c>
      <c r="X16" s="41">
        <f t="shared" si="6"/>
        <v>584</v>
      </c>
      <c r="Y16" s="2"/>
    </row>
    <row r="19" spans="22:24" x14ac:dyDescent="0.25">
      <c r="V19" s="9">
        <v>2303</v>
      </c>
      <c r="X19" s="9">
        <v>2303</v>
      </c>
    </row>
    <row r="20" spans="22:24" x14ac:dyDescent="0.25">
      <c r="V20" s="9">
        <f>+V19-350</f>
        <v>1953</v>
      </c>
      <c r="X20" s="9">
        <f>+X19-350</f>
        <v>1953</v>
      </c>
    </row>
  </sheetData>
  <mergeCells count="25">
    <mergeCell ref="Y11:Y13"/>
    <mergeCell ref="A3:A4"/>
    <mergeCell ref="B3:B4"/>
    <mergeCell ref="C3:D3"/>
    <mergeCell ref="E3:F3"/>
    <mergeCell ref="A1:Y1"/>
    <mergeCell ref="A2:Y2"/>
    <mergeCell ref="Y14:Y15"/>
    <mergeCell ref="C14:R14"/>
    <mergeCell ref="Y3:Y4"/>
    <mergeCell ref="Y5:Y10"/>
    <mergeCell ref="O3:P3"/>
    <mergeCell ref="A10:B10"/>
    <mergeCell ref="A13:B13"/>
    <mergeCell ref="A15:B15"/>
    <mergeCell ref="C15:R15"/>
    <mergeCell ref="W3:X3"/>
    <mergeCell ref="A16:B16"/>
    <mergeCell ref="Q3:R3"/>
    <mergeCell ref="S3:T3"/>
    <mergeCell ref="U3:V3"/>
    <mergeCell ref="G3:H3"/>
    <mergeCell ref="I3:J3"/>
    <mergeCell ref="K3:L3"/>
    <mergeCell ref="M3:N3"/>
  </mergeCells>
  <printOptions horizontalCentered="1" verticalCentered="1"/>
  <pageMargins left="0" right="0" top="0" bottom="0" header="0.31496062992125984" footer="0.31496062992125984"/>
  <pageSetup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20"/>
  <sheetViews>
    <sheetView view="pageBreakPreview" zoomScale="60" zoomScaleNormal="50"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AA14" sqref="AA14:AA15"/>
    </sheetView>
  </sheetViews>
  <sheetFormatPr defaultRowHeight="15" x14ac:dyDescent="0.25"/>
  <cols>
    <col min="1" max="1" width="4.85546875" style="9" customWidth="1"/>
    <col min="2" max="3" width="12.85546875" customWidth="1"/>
    <col min="4" max="4" width="14" customWidth="1"/>
    <col min="6" max="6" width="13.5703125" customWidth="1"/>
    <col min="7" max="7" width="13.85546875" customWidth="1"/>
    <col min="8" max="8" width="13.42578125" customWidth="1"/>
    <col min="10" max="10" width="13.42578125" customWidth="1"/>
    <col min="12" max="12" width="11.7109375" customWidth="1"/>
    <col min="19" max="23" width="12.140625" style="9" customWidth="1"/>
    <col min="24" max="24" width="15.7109375" style="9" customWidth="1"/>
    <col min="25" max="25" width="12.140625" style="9" customWidth="1"/>
    <col min="26" max="26" width="15.7109375" style="9" customWidth="1"/>
    <col min="27" max="27" width="21.28515625" customWidth="1"/>
  </cols>
  <sheetData>
    <row r="1" spans="1:27" ht="21" x14ac:dyDescent="0.35">
      <c r="A1" s="65" t="s">
        <v>19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27" ht="60.75" customHeight="1" x14ac:dyDescent="0.25">
      <c r="A2" s="66" t="s">
        <v>22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27" ht="60.75" customHeight="1" x14ac:dyDescent="0.25">
      <c r="A3" s="53" t="s">
        <v>0</v>
      </c>
      <c r="B3" s="53" t="s">
        <v>1</v>
      </c>
      <c r="C3" s="56" t="s">
        <v>17</v>
      </c>
      <c r="D3" s="57"/>
      <c r="E3" s="53" t="s">
        <v>2</v>
      </c>
      <c r="F3" s="53"/>
      <c r="G3" s="53" t="s">
        <v>3</v>
      </c>
      <c r="H3" s="53"/>
      <c r="I3" s="53" t="s">
        <v>6</v>
      </c>
      <c r="J3" s="53"/>
      <c r="K3" s="53" t="s">
        <v>7</v>
      </c>
      <c r="L3" s="53"/>
      <c r="M3" s="47" t="s">
        <v>23</v>
      </c>
      <c r="N3" s="47"/>
      <c r="O3" s="47" t="s">
        <v>24</v>
      </c>
      <c r="P3" s="47"/>
      <c r="Q3" s="47" t="s">
        <v>25</v>
      </c>
      <c r="R3" s="47"/>
      <c r="S3" s="47" t="s">
        <v>27</v>
      </c>
      <c r="T3" s="47"/>
      <c r="U3" s="47" t="s">
        <v>28</v>
      </c>
      <c r="V3" s="47"/>
      <c r="W3" s="47" t="s">
        <v>29</v>
      </c>
      <c r="X3" s="47"/>
      <c r="Y3" s="47" t="s">
        <v>34</v>
      </c>
      <c r="Z3" s="47"/>
      <c r="AA3" s="47" t="s">
        <v>30</v>
      </c>
    </row>
    <row r="4" spans="1:27" ht="60.75" customHeight="1" x14ac:dyDescent="0.25">
      <c r="A4" s="53"/>
      <c r="B4" s="53"/>
      <c r="C4" s="3" t="s">
        <v>4</v>
      </c>
      <c r="D4" s="3" t="s">
        <v>5</v>
      </c>
      <c r="E4" s="3" t="s">
        <v>4</v>
      </c>
      <c r="F4" s="3" t="s">
        <v>5</v>
      </c>
      <c r="G4" s="3" t="s">
        <v>4</v>
      </c>
      <c r="H4" s="3" t="s">
        <v>5</v>
      </c>
      <c r="I4" s="3" t="s">
        <v>4</v>
      </c>
      <c r="J4" s="3" t="s">
        <v>5</v>
      </c>
      <c r="K4" s="3" t="s">
        <v>4</v>
      </c>
      <c r="L4" s="3" t="s">
        <v>5</v>
      </c>
      <c r="M4" s="20" t="s">
        <v>4</v>
      </c>
      <c r="N4" s="20" t="s">
        <v>5</v>
      </c>
      <c r="O4" s="20" t="s">
        <v>4</v>
      </c>
      <c r="P4" s="20" t="s">
        <v>5</v>
      </c>
      <c r="Q4" s="20" t="s">
        <v>4</v>
      </c>
      <c r="R4" s="20" t="s">
        <v>5</v>
      </c>
      <c r="S4" s="22" t="s">
        <v>4</v>
      </c>
      <c r="T4" s="22" t="s">
        <v>5</v>
      </c>
      <c r="U4" s="22" t="s">
        <v>4</v>
      </c>
      <c r="V4" s="22" t="s">
        <v>5</v>
      </c>
      <c r="W4" s="22" t="s">
        <v>4</v>
      </c>
      <c r="X4" s="22" t="s">
        <v>5</v>
      </c>
      <c r="Y4" s="30" t="s">
        <v>4</v>
      </c>
      <c r="Z4" s="30" t="s">
        <v>5</v>
      </c>
      <c r="AA4" s="47"/>
    </row>
    <row r="5" spans="1:27" s="15" customFormat="1" ht="60.75" customHeight="1" x14ac:dyDescent="0.25">
      <c r="A5" s="12">
        <v>1</v>
      </c>
      <c r="B5" s="5" t="s">
        <v>8</v>
      </c>
      <c r="C5" s="12">
        <v>21936</v>
      </c>
      <c r="D5" s="12">
        <v>12929</v>
      </c>
      <c r="E5" s="12">
        <f>+C5-D5</f>
        <v>9007</v>
      </c>
      <c r="F5" s="12">
        <v>9007</v>
      </c>
      <c r="G5" s="12">
        <f>+F5-E5</f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54" t="s">
        <v>31</v>
      </c>
    </row>
    <row r="6" spans="1:27" s="15" customFormat="1" ht="60.75" customHeight="1" x14ac:dyDescent="0.25">
      <c r="A6" s="12">
        <v>2</v>
      </c>
      <c r="B6" s="5" t="s">
        <v>9</v>
      </c>
      <c r="C6" s="12">
        <v>39429</v>
      </c>
      <c r="D6" s="12">
        <v>29012</v>
      </c>
      <c r="E6" s="12">
        <f>+C6-D6</f>
        <v>10417</v>
      </c>
      <c r="F6" s="12">
        <v>8809</v>
      </c>
      <c r="G6" s="12">
        <f>+E6-F6</f>
        <v>1608</v>
      </c>
      <c r="H6" s="12">
        <v>2118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54"/>
    </row>
    <row r="7" spans="1:27" s="15" customFormat="1" ht="60.75" customHeight="1" x14ac:dyDescent="0.25">
      <c r="A7" s="12">
        <v>3</v>
      </c>
      <c r="B7" s="5" t="s">
        <v>10</v>
      </c>
      <c r="C7" s="12">
        <v>27911</v>
      </c>
      <c r="D7" s="12">
        <v>7915</v>
      </c>
      <c r="E7" s="12">
        <f>+C7-D7</f>
        <v>19996</v>
      </c>
      <c r="F7" s="12">
        <v>11685</v>
      </c>
      <c r="G7" s="12">
        <f>+E7-F7</f>
        <v>8311</v>
      </c>
      <c r="H7" s="12">
        <v>1751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54"/>
    </row>
    <row r="8" spans="1:27" s="15" customFormat="1" ht="60.75" customHeight="1" x14ac:dyDescent="0.25">
      <c r="A8" s="12">
        <v>4</v>
      </c>
      <c r="B8" s="5" t="s">
        <v>11</v>
      </c>
      <c r="C8" s="12">
        <v>33477</v>
      </c>
      <c r="D8" s="12">
        <v>28120</v>
      </c>
      <c r="E8" s="12">
        <f>+C8-D8</f>
        <v>5357</v>
      </c>
      <c r="F8" s="12">
        <v>8307</v>
      </c>
      <c r="G8" s="12">
        <f>+E8-F8</f>
        <v>-2950</v>
      </c>
      <c r="H8" s="12">
        <f>159-159</f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54"/>
    </row>
    <row r="9" spans="1:27" s="15" customFormat="1" ht="60.75" customHeight="1" x14ac:dyDescent="0.25">
      <c r="A9" s="12">
        <v>5</v>
      </c>
      <c r="B9" s="5" t="s">
        <v>12</v>
      </c>
      <c r="C9" s="12">
        <v>48899</v>
      </c>
      <c r="D9" s="12">
        <v>15638</v>
      </c>
      <c r="E9" s="12">
        <f>+C9-D9</f>
        <v>33261</v>
      </c>
      <c r="F9" s="12">
        <v>10101</v>
      </c>
      <c r="G9" s="12">
        <f>+E9-F9</f>
        <v>23160</v>
      </c>
      <c r="H9" s="12">
        <v>6700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54"/>
    </row>
    <row r="10" spans="1:27" s="15" customFormat="1" ht="60.75" customHeight="1" x14ac:dyDescent="0.25">
      <c r="A10" s="56" t="s">
        <v>15</v>
      </c>
      <c r="B10" s="57"/>
      <c r="C10" s="13">
        <f>SUM(C5:C9)</f>
        <v>171652</v>
      </c>
      <c r="D10" s="13">
        <f>SUM(D5:D9)</f>
        <v>93614</v>
      </c>
      <c r="E10" s="10">
        <f>SUM(E5:E9)</f>
        <v>78038</v>
      </c>
      <c r="F10" s="10">
        <f t="shared" ref="F10:L10" si="0">SUM(F5:F9)</f>
        <v>47909</v>
      </c>
      <c r="G10" s="10">
        <f t="shared" si="0"/>
        <v>30129</v>
      </c>
      <c r="H10" s="10">
        <f t="shared" si="0"/>
        <v>10569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9">
        <f t="shared" ref="M10:X10" si="1">SUM(M5:M9)</f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21">
        <f t="shared" si="1"/>
        <v>0</v>
      </c>
      <c r="T10" s="21">
        <f t="shared" si="1"/>
        <v>0</v>
      </c>
      <c r="U10" s="21">
        <f t="shared" si="1"/>
        <v>0</v>
      </c>
      <c r="V10" s="21">
        <f t="shared" si="1"/>
        <v>0</v>
      </c>
      <c r="W10" s="21">
        <f t="shared" si="1"/>
        <v>0</v>
      </c>
      <c r="X10" s="21">
        <f t="shared" si="1"/>
        <v>0</v>
      </c>
      <c r="Y10" s="33">
        <f>SUM(Y5:Y9)</f>
        <v>0</v>
      </c>
      <c r="Z10" s="33">
        <f>SUM(Z5:Z9)</f>
        <v>0</v>
      </c>
      <c r="AA10" s="54"/>
    </row>
    <row r="11" spans="1:27" s="15" customFormat="1" ht="60.75" customHeight="1" x14ac:dyDescent="0.25">
      <c r="A11" s="12">
        <v>6</v>
      </c>
      <c r="B11" s="5" t="s">
        <v>13</v>
      </c>
      <c r="C11" s="12">
        <v>0</v>
      </c>
      <c r="D11" s="12">
        <v>0</v>
      </c>
      <c r="E11" s="12">
        <v>0</v>
      </c>
      <c r="F11" s="12">
        <v>0</v>
      </c>
      <c r="G11" s="12">
        <v>19657</v>
      </c>
      <c r="H11" s="12">
        <v>8879</v>
      </c>
      <c r="I11" s="12">
        <f>+G11-H11</f>
        <v>10778</v>
      </c>
      <c r="J11" s="12">
        <v>9073</v>
      </c>
      <c r="K11" s="12">
        <f>+I11-J11</f>
        <v>1705</v>
      </c>
      <c r="L11" s="12">
        <v>462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67" t="s">
        <v>32</v>
      </c>
    </row>
    <row r="12" spans="1:27" s="15" customFormat="1" ht="60.75" customHeight="1" x14ac:dyDescent="0.25">
      <c r="A12" s="12">
        <v>7</v>
      </c>
      <c r="B12" s="5" t="s">
        <v>14</v>
      </c>
      <c r="C12" s="14">
        <v>0</v>
      </c>
      <c r="D12" s="14">
        <v>0</v>
      </c>
      <c r="E12" s="14">
        <v>0</v>
      </c>
      <c r="F12" s="14">
        <v>0</v>
      </c>
      <c r="G12" s="14">
        <v>62430</v>
      </c>
      <c r="H12" s="12">
        <v>20199</v>
      </c>
      <c r="I12" s="12">
        <f>+G12-H12</f>
        <v>42231</v>
      </c>
      <c r="J12" s="12">
        <v>16799</v>
      </c>
      <c r="K12" s="12">
        <f>+I12-J12</f>
        <v>25432</v>
      </c>
      <c r="L12" s="12">
        <v>7079</v>
      </c>
      <c r="M12" s="12">
        <f>+K12-L12</f>
        <v>18353</v>
      </c>
      <c r="N12" s="12">
        <v>5341</v>
      </c>
      <c r="O12" s="12">
        <f>+M12-N12</f>
        <v>13012</v>
      </c>
      <c r="P12" s="12">
        <v>4690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67"/>
    </row>
    <row r="13" spans="1:27" s="15" customFormat="1" ht="60.75" customHeight="1" x14ac:dyDescent="0.25">
      <c r="A13" s="56" t="s">
        <v>16</v>
      </c>
      <c r="B13" s="57"/>
      <c r="C13" s="10">
        <f>SUM(C11:C12)</f>
        <v>0</v>
      </c>
      <c r="D13" s="10">
        <v>0</v>
      </c>
      <c r="E13" s="10">
        <f>+E12+E11</f>
        <v>0</v>
      </c>
      <c r="F13" s="10">
        <f t="shared" ref="F13:X13" si="2">+F12+F11</f>
        <v>0</v>
      </c>
      <c r="G13" s="10">
        <f t="shared" si="2"/>
        <v>82087</v>
      </c>
      <c r="H13" s="10">
        <f t="shared" si="2"/>
        <v>29078</v>
      </c>
      <c r="I13" s="10">
        <f t="shared" si="2"/>
        <v>53009</v>
      </c>
      <c r="J13" s="10">
        <f t="shared" si="2"/>
        <v>25872</v>
      </c>
      <c r="K13" s="10">
        <f t="shared" si="2"/>
        <v>27137</v>
      </c>
      <c r="L13" s="10">
        <f t="shared" si="2"/>
        <v>7541</v>
      </c>
      <c r="M13" s="19">
        <f t="shared" si="2"/>
        <v>18353</v>
      </c>
      <c r="N13" s="19">
        <f t="shared" si="2"/>
        <v>5341</v>
      </c>
      <c r="O13" s="19">
        <f t="shared" si="2"/>
        <v>13012</v>
      </c>
      <c r="P13" s="19">
        <f t="shared" si="2"/>
        <v>4690</v>
      </c>
      <c r="Q13" s="19">
        <f t="shared" si="2"/>
        <v>0</v>
      </c>
      <c r="R13" s="19">
        <f t="shared" si="2"/>
        <v>0</v>
      </c>
      <c r="S13" s="21">
        <f t="shared" si="2"/>
        <v>0</v>
      </c>
      <c r="T13" s="21">
        <f t="shared" si="2"/>
        <v>0</v>
      </c>
      <c r="U13" s="21">
        <f t="shared" si="2"/>
        <v>0</v>
      </c>
      <c r="V13" s="21">
        <f t="shared" si="2"/>
        <v>0</v>
      </c>
      <c r="W13" s="21">
        <f t="shared" si="2"/>
        <v>0</v>
      </c>
      <c r="X13" s="21">
        <f t="shared" si="2"/>
        <v>0</v>
      </c>
      <c r="Y13" s="33">
        <f>+Y12+Y11</f>
        <v>0</v>
      </c>
      <c r="Z13" s="33">
        <f>+Z12+Z11</f>
        <v>0</v>
      </c>
      <c r="AA13" s="67"/>
    </row>
    <row r="14" spans="1:27" s="27" customFormat="1" ht="60.75" customHeight="1" x14ac:dyDescent="0.25">
      <c r="A14" s="25">
        <v>8</v>
      </c>
      <c r="B14" s="26" t="s">
        <v>10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25">
        <v>500</v>
      </c>
      <c r="V14" s="25">
        <v>350</v>
      </c>
      <c r="W14" s="25">
        <v>10000</v>
      </c>
      <c r="X14" s="25">
        <v>1953</v>
      </c>
      <c r="Y14" s="32">
        <f>18638-W14-U14</f>
        <v>8138</v>
      </c>
      <c r="Z14" s="32">
        <f>18221-X14-V14</f>
        <v>15918</v>
      </c>
      <c r="AA14" s="54" t="s">
        <v>35</v>
      </c>
    </row>
    <row r="15" spans="1:27" ht="60.75" customHeight="1" x14ac:dyDescent="0.25">
      <c r="A15" s="46" t="s">
        <v>26</v>
      </c>
      <c r="B15" s="46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24">
        <f t="shared" ref="U15:Z15" si="3">+U14</f>
        <v>500</v>
      </c>
      <c r="V15" s="24">
        <f t="shared" si="3"/>
        <v>350</v>
      </c>
      <c r="W15" s="24">
        <f t="shared" si="3"/>
        <v>10000</v>
      </c>
      <c r="X15" s="24">
        <f t="shared" si="3"/>
        <v>1953</v>
      </c>
      <c r="Y15" s="34">
        <f t="shared" si="3"/>
        <v>8138</v>
      </c>
      <c r="Z15" s="34">
        <f t="shared" si="3"/>
        <v>15918</v>
      </c>
      <c r="AA15" s="54"/>
    </row>
    <row r="16" spans="1:27" s="28" customFormat="1" ht="60.75" customHeight="1" x14ac:dyDescent="0.25">
      <c r="A16" s="46" t="s">
        <v>33</v>
      </c>
      <c r="B16" s="46"/>
      <c r="C16" s="29">
        <f>+C13+C10</f>
        <v>171652</v>
      </c>
      <c r="D16" s="29">
        <f t="shared" ref="D16:T16" si="4">+D13+D10</f>
        <v>93614</v>
      </c>
      <c r="E16" s="29">
        <f t="shared" si="4"/>
        <v>78038</v>
      </c>
      <c r="F16" s="29">
        <f t="shared" si="4"/>
        <v>47909</v>
      </c>
      <c r="G16" s="29">
        <f t="shared" si="4"/>
        <v>112216</v>
      </c>
      <c r="H16" s="29">
        <f t="shared" si="4"/>
        <v>39647</v>
      </c>
      <c r="I16" s="29">
        <f t="shared" si="4"/>
        <v>53009</v>
      </c>
      <c r="J16" s="29">
        <f t="shared" si="4"/>
        <v>25872</v>
      </c>
      <c r="K16" s="29">
        <f t="shared" si="4"/>
        <v>27137</v>
      </c>
      <c r="L16" s="29">
        <f t="shared" si="4"/>
        <v>7541</v>
      </c>
      <c r="M16" s="29">
        <f t="shared" si="4"/>
        <v>18353</v>
      </c>
      <c r="N16" s="29">
        <f t="shared" si="4"/>
        <v>5341</v>
      </c>
      <c r="O16" s="29">
        <f t="shared" si="4"/>
        <v>13012</v>
      </c>
      <c r="P16" s="29">
        <f t="shared" si="4"/>
        <v>4690</v>
      </c>
      <c r="Q16" s="29">
        <f t="shared" si="4"/>
        <v>0</v>
      </c>
      <c r="R16" s="29">
        <f t="shared" si="4"/>
        <v>0</v>
      </c>
      <c r="S16" s="29">
        <f t="shared" si="4"/>
        <v>0</v>
      </c>
      <c r="T16" s="29">
        <f t="shared" si="4"/>
        <v>0</v>
      </c>
      <c r="U16" s="29">
        <f t="shared" ref="U16:Z16" si="5">+U15+U13+U10</f>
        <v>500</v>
      </c>
      <c r="V16" s="29">
        <f t="shared" si="5"/>
        <v>350</v>
      </c>
      <c r="W16" s="29">
        <f t="shared" si="5"/>
        <v>10000</v>
      </c>
      <c r="X16" s="29">
        <f t="shared" si="5"/>
        <v>1953</v>
      </c>
      <c r="Y16" s="31">
        <f t="shared" si="5"/>
        <v>8138</v>
      </c>
      <c r="Z16" s="31">
        <f t="shared" si="5"/>
        <v>15918</v>
      </c>
      <c r="AA16" s="2"/>
    </row>
    <row r="19" spans="24:26" x14ac:dyDescent="0.25">
      <c r="X19" s="9">
        <v>2303</v>
      </c>
      <c r="Z19" s="9">
        <f>V14+X14+Z14</f>
        <v>18221</v>
      </c>
    </row>
    <row r="20" spans="24:26" x14ac:dyDescent="0.25">
      <c r="X20" s="9">
        <f>+X19-350</f>
        <v>1953</v>
      </c>
      <c r="Z20" s="9">
        <f>U14+W14+Y14</f>
        <v>18638</v>
      </c>
    </row>
  </sheetData>
  <mergeCells count="26">
    <mergeCell ref="M3:N3"/>
    <mergeCell ref="O3:P3"/>
    <mergeCell ref="Q3:R3"/>
    <mergeCell ref="A13:B13"/>
    <mergeCell ref="C3:D3"/>
    <mergeCell ref="AA11:AA13"/>
    <mergeCell ref="Y3:Z3"/>
    <mergeCell ref="A1:L1"/>
    <mergeCell ref="A10:B10"/>
    <mergeCell ref="A2:L2"/>
    <mergeCell ref="A3:A4"/>
    <mergeCell ref="B3:B4"/>
    <mergeCell ref="E3:F3"/>
    <mergeCell ref="G3:H3"/>
    <mergeCell ref="I3:J3"/>
    <mergeCell ref="K3:L3"/>
    <mergeCell ref="AA14:AA15"/>
    <mergeCell ref="A15:B15"/>
    <mergeCell ref="A16:B16"/>
    <mergeCell ref="C14:T14"/>
    <mergeCell ref="C15:T15"/>
    <mergeCell ref="S3:T3"/>
    <mergeCell ref="U3:V3"/>
    <mergeCell ref="W3:X3"/>
    <mergeCell ref="AA3:AA4"/>
    <mergeCell ref="AA5:AA10"/>
  </mergeCells>
  <printOptions horizontalCentered="1"/>
  <pageMargins left="0.4" right="0.51" top="0.75" bottom="0.75" header="0.3" footer="0.3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A17"/>
  <sheetViews>
    <sheetView view="pageBreakPreview" zoomScale="60" zoomScaleNormal="60" workbookViewId="0">
      <pane xSplit="2" ySplit="3" topLeftCell="J4" activePane="bottomRight" state="frozen"/>
      <selection pane="topRight" activeCell="C1" sqref="C1"/>
      <selection pane="bottomLeft" activeCell="A4" sqref="A4"/>
      <selection pane="bottomRight" activeCell="L19" sqref="L19"/>
    </sheetView>
  </sheetViews>
  <sheetFormatPr defaultRowHeight="15" x14ac:dyDescent="0.25"/>
  <cols>
    <col min="1" max="1" width="4.85546875" customWidth="1"/>
    <col min="2" max="2" width="12.85546875" customWidth="1"/>
    <col min="4" max="4" width="10.42578125" customWidth="1"/>
    <col min="6" max="6" width="11.85546875" customWidth="1"/>
    <col min="19" max="23" width="12.140625" style="9" customWidth="1"/>
    <col min="24" max="24" width="15.7109375" style="9" customWidth="1"/>
    <col min="25" max="25" width="12.140625" style="9" customWidth="1"/>
    <col min="26" max="26" width="15.7109375" style="9" customWidth="1"/>
    <col min="27" max="27" width="21.28515625" customWidth="1"/>
  </cols>
  <sheetData>
    <row r="1" spans="1:27" ht="48" customHeight="1" x14ac:dyDescent="0.25">
      <c r="A1" s="69" t="s">
        <v>18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27" ht="48" customHeight="1" x14ac:dyDescent="0.25">
      <c r="A2" s="68" t="s">
        <v>0</v>
      </c>
      <c r="B2" s="68" t="s">
        <v>1</v>
      </c>
      <c r="C2" s="70" t="s">
        <v>17</v>
      </c>
      <c r="D2" s="71"/>
      <c r="E2" s="68" t="s">
        <v>2</v>
      </c>
      <c r="F2" s="68"/>
      <c r="G2" s="68" t="s">
        <v>3</v>
      </c>
      <c r="H2" s="68"/>
      <c r="I2" s="68" t="s">
        <v>6</v>
      </c>
      <c r="J2" s="68"/>
      <c r="K2" s="68" t="s">
        <v>7</v>
      </c>
      <c r="L2" s="68"/>
      <c r="M2" s="47" t="s">
        <v>23</v>
      </c>
      <c r="N2" s="47"/>
      <c r="O2" s="47" t="s">
        <v>24</v>
      </c>
      <c r="P2" s="47"/>
      <c r="Q2" s="47" t="s">
        <v>25</v>
      </c>
      <c r="R2" s="47"/>
      <c r="S2" s="47" t="s">
        <v>27</v>
      </c>
      <c r="T2" s="47"/>
      <c r="U2" s="72" t="s">
        <v>28</v>
      </c>
      <c r="V2" s="73"/>
      <c r="W2" s="72" t="s">
        <v>29</v>
      </c>
      <c r="X2" s="73"/>
      <c r="Y2" s="72" t="s">
        <v>34</v>
      </c>
      <c r="Z2" s="73"/>
      <c r="AA2" s="47" t="s">
        <v>30</v>
      </c>
    </row>
    <row r="3" spans="1:27" ht="48" customHeight="1" x14ac:dyDescent="0.25">
      <c r="A3" s="68"/>
      <c r="B3" s="68"/>
      <c r="C3" s="1" t="s">
        <v>4</v>
      </c>
      <c r="D3" s="1" t="s">
        <v>5</v>
      </c>
      <c r="E3" s="1" t="s">
        <v>4</v>
      </c>
      <c r="F3" s="1" t="s">
        <v>5</v>
      </c>
      <c r="G3" s="1" t="s">
        <v>4</v>
      </c>
      <c r="H3" s="1" t="s">
        <v>5</v>
      </c>
      <c r="I3" s="1" t="s">
        <v>4</v>
      </c>
      <c r="J3" s="1" t="s">
        <v>5</v>
      </c>
      <c r="K3" s="1" t="s">
        <v>4</v>
      </c>
      <c r="L3" s="1" t="s">
        <v>5</v>
      </c>
      <c r="M3" s="20" t="s">
        <v>4</v>
      </c>
      <c r="N3" s="20" t="s">
        <v>5</v>
      </c>
      <c r="O3" s="20" t="s">
        <v>4</v>
      </c>
      <c r="P3" s="20" t="s">
        <v>5</v>
      </c>
      <c r="Q3" s="20" t="s">
        <v>4</v>
      </c>
      <c r="R3" s="20" t="s">
        <v>5</v>
      </c>
      <c r="S3" s="22" t="s">
        <v>4</v>
      </c>
      <c r="T3" s="22" t="s">
        <v>5</v>
      </c>
      <c r="U3" s="22" t="s">
        <v>4</v>
      </c>
      <c r="V3" s="22" t="s">
        <v>5</v>
      </c>
      <c r="W3" s="22" t="s">
        <v>4</v>
      </c>
      <c r="X3" s="22" t="s">
        <v>5</v>
      </c>
      <c r="Y3" s="30" t="s">
        <v>4</v>
      </c>
      <c r="Z3" s="30" t="s">
        <v>5</v>
      </c>
      <c r="AA3" s="47"/>
    </row>
    <row r="4" spans="1:27" ht="48" customHeight="1" x14ac:dyDescent="0.25">
      <c r="A4" s="1">
        <v>1</v>
      </c>
      <c r="B4" s="1" t="s">
        <v>8</v>
      </c>
      <c r="C4" s="1">
        <v>31806</v>
      </c>
      <c r="D4" s="1">
        <v>13305</v>
      </c>
      <c r="E4" s="5">
        <f>+C4-D4</f>
        <v>18501</v>
      </c>
      <c r="F4" s="5">
        <v>9833</v>
      </c>
      <c r="G4" s="1">
        <f>+E4-F4</f>
        <v>8668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34">
        <v>0</v>
      </c>
      <c r="Z4" s="34">
        <v>0</v>
      </c>
      <c r="AA4" s="54" t="s">
        <v>31</v>
      </c>
    </row>
    <row r="5" spans="1:27" ht="48" customHeight="1" x14ac:dyDescent="0.25">
      <c r="A5" s="1">
        <v>2</v>
      </c>
      <c r="B5" s="1" t="s">
        <v>9</v>
      </c>
      <c r="C5" s="1">
        <v>61557</v>
      </c>
      <c r="D5" s="1">
        <v>29407</v>
      </c>
      <c r="E5" s="5">
        <f>+C5-D5</f>
        <v>32150</v>
      </c>
      <c r="F5" s="5">
        <v>9449</v>
      </c>
      <c r="G5" s="1">
        <f>+E5-F5</f>
        <v>22701</v>
      </c>
      <c r="H5" s="1">
        <v>2822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54"/>
    </row>
    <row r="6" spans="1:27" ht="48" customHeight="1" x14ac:dyDescent="0.25">
      <c r="A6" s="1">
        <v>3</v>
      </c>
      <c r="B6" s="1" t="s">
        <v>10</v>
      </c>
      <c r="C6" s="1">
        <v>116443</v>
      </c>
      <c r="D6" s="1">
        <v>11155</v>
      </c>
      <c r="E6" s="5">
        <f>+C6-D6</f>
        <v>105288</v>
      </c>
      <c r="F6" s="5">
        <v>11709</v>
      </c>
      <c r="G6" s="1">
        <f>+E6-F6</f>
        <v>93579</v>
      </c>
      <c r="H6" s="1">
        <v>1751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54"/>
    </row>
    <row r="7" spans="1:27" ht="48" customHeight="1" x14ac:dyDescent="0.25">
      <c r="A7" s="1">
        <v>4</v>
      </c>
      <c r="B7" s="1" t="s">
        <v>11</v>
      </c>
      <c r="C7" s="1">
        <v>63203</v>
      </c>
      <c r="D7" s="1">
        <v>29786</v>
      </c>
      <c r="E7" s="5">
        <f>+C7-D7</f>
        <v>33417</v>
      </c>
      <c r="F7" s="5">
        <v>8365</v>
      </c>
      <c r="G7" s="1">
        <f>+E7-F7</f>
        <v>25052</v>
      </c>
      <c r="H7" s="1">
        <f>159-159</f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54"/>
    </row>
    <row r="8" spans="1:27" ht="48" customHeight="1" x14ac:dyDescent="0.25">
      <c r="A8" s="1">
        <v>5</v>
      </c>
      <c r="B8" s="1" t="s">
        <v>12</v>
      </c>
      <c r="C8" s="1">
        <v>90658</v>
      </c>
      <c r="D8" s="1">
        <v>19174</v>
      </c>
      <c r="E8" s="5">
        <f>+C8-D8</f>
        <v>71484</v>
      </c>
      <c r="F8" s="5">
        <v>11672</v>
      </c>
      <c r="G8" s="1">
        <f>+E8-F8</f>
        <v>59812</v>
      </c>
      <c r="H8" s="1">
        <v>6700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54"/>
    </row>
    <row r="9" spans="1:27" s="28" customFormat="1" ht="48" customHeight="1" x14ac:dyDescent="0.25">
      <c r="A9" s="74" t="s">
        <v>15</v>
      </c>
      <c r="B9" s="75"/>
      <c r="C9" s="23">
        <f>SUM(C4:C8)</f>
        <v>363667</v>
      </c>
      <c r="D9" s="23">
        <f>SUM(D4:D8)</f>
        <v>102827</v>
      </c>
      <c r="E9" s="2">
        <f>SUM(E4:E8)</f>
        <v>260840</v>
      </c>
      <c r="F9" s="2">
        <f t="shared" ref="F9:L9" si="0">SUM(F4:F8)</f>
        <v>51028</v>
      </c>
      <c r="G9" s="2">
        <f t="shared" si="0"/>
        <v>209812</v>
      </c>
      <c r="H9" s="2">
        <f t="shared" si="0"/>
        <v>11273</v>
      </c>
      <c r="I9" s="2">
        <f t="shared" si="0"/>
        <v>0</v>
      </c>
      <c r="J9" s="2">
        <f t="shared" si="0"/>
        <v>0</v>
      </c>
      <c r="K9" s="2">
        <f t="shared" si="0"/>
        <v>0</v>
      </c>
      <c r="L9" s="2">
        <f t="shared" si="0"/>
        <v>0</v>
      </c>
      <c r="M9" s="2">
        <f t="shared" ref="M9:R9" si="1">SUM(M4:M8)</f>
        <v>0</v>
      </c>
      <c r="N9" s="2">
        <f t="shared" si="1"/>
        <v>0</v>
      </c>
      <c r="O9" s="2">
        <f t="shared" si="1"/>
        <v>0</v>
      </c>
      <c r="P9" s="2">
        <f t="shared" si="1"/>
        <v>0</v>
      </c>
      <c r="Q9" s="2">
        <f t="shared" si="1"/>
        <v>0</v>
      </c>
      <c r="R9" s="2">
        <f t="shared" si="1"/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33">
        <v>0</v>
      </c>
      <c r="Z9" s="33">
        <v>0</v>
      </c>
      <c r="AA9" s="54"/>
    </row>
    <row r="10" spans="1:27" ht="48" customHeight="1" x14ac:dyDescent="0.25">
      <c r="A10" s="1">
        <v>6</v>
      </c>
      <c r="B10" s="1" t="s">
        <v>13</v>
      </c>
      <c r="C10" s="1">
        <v>0</v>
      </c>
      <c r="D10" s="1">
        <v>0</v>
      </c>
      <c r="E10" s="1">
        <v>0</v>
      </c>
      <c r="F10" s="1">
        <v>0</v>
      </c>
      <c r="G10" s="1">
        <v>34614</v>
      </c>
      <c r="H10" s="1">
        <v>8946</v>
      </c>
      <c r="I10" s="1">
        <f>+G10-H10</f>
        <v>25668</v>
      </c>
      <c r="J10" s="1">
        <v>9340</v>
      </c>
      <c r="K10" s="1">
        <f>+I10-J10</f>
        <v>16328</v>
      </c>
      <c r="L10" s="1">
        <v>1314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2">
        <f t="shared" ref="S10:X10" si="2">SUM(S5:S9)</f>
        <v>0</v>
      </c>
      <c r="T10" s="12">
        <f t="shared" si="2"/>
        <v>0</v>
      </c>
      <c r="U10" s="12">
        <f t="shared" si="2"/>
        <v>0</v>
      </c>
      <c r="V10" s="12">
        <f t="shared" si="2"/>
        <v>0</v>
      </c>
      <c r="W10" s="12">
        <f t="shared" si="2"/>
        <v>0</v>
      </c>
      <c r="X10" s="12">
        <f t="shared" si="2"/>
        <v>0</v>
      </c>
      <c r="Y10" s="12">
        <f>SUM(Y5:Y9)</f>
        <v>0</v>
      </c>
      <c r="Z10" s="12">
        <f>SUM(Z5:Z9)</f>
        <v>0</v>
      </c>
      <c r="AA10" s="67" t="s">
        <v>32</v>
      </c>
    </row>
    <row r="11" spans="1:27" ht="48" customHeight="1" x14ac:dyDescent="0.25">
      <c r="A11" s="1">
        <v>7</v>
      </c>
      <c r="B11" s="1" t="s">
        <v>14</v>
      </c>
      <c r="C11" s="6">
        <v>0</v>
      </c>
      <c r="D11" s="6">
        <v>0</v>
      </c>
      <c r="E11" s="6">
        <v>0</v>
      </c>
      <c r="F11" s="6">
        <v>0</v>
      </c>
      <c r="G11" s="6">
        <v>163192</v>
      </c>
      <c r="H11" s="1">
        <v>20391</v>
      </c>
      <c r="I11" s="1">
        <f>+G11-H11</f>
        <v>142801</v>
      </c>
      <c r="J11" s="1">
        <v>17341</v>
      </c>
      <c r="K11" s="1">
        <f>+I11-J11</f>
        <v>125460</v>
      </c>
      <c r="L11" s="1">
        <v>8617</v>
      </c>
      <c r="M11" s="1">
        <f>+K11-L11</f>
        <v>116843</v>
      </c>
      <c r="N11" s="1">
        <v>8100</v>
      </c>
      <c r="O11" s="1">
        <f>+M11-N11</f>
        <v>108743</v>
      </c>
      <c r="P11" s="1">
        <v>1700</v>
      </c>
      <c r="Q11" s="1">
        <v>0</v>
      </c>
      <c r="R11" s="1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67"/>
    </row>
    <row r="12" spans="1:27" ht="48" customHeight="1" x14ac:dyDescent="0.25">
      <c r="A12" s="74" t="s">
        <v>16</v>
      </c>
      <c r="B12" s="75"/>
      <c r="C12" s="2">
        <f>SUM(C10:C11)</f>
        <v>0</v>
      </c>
      <c r="D12" s="7">
        <v>0</v>
      </c>
      <c r="E12" s="2">
        <f>+E11+E10</f>
        <v>0</v>
      </c>
      <c r="F12" s="2">
        <f t="shared" ref="F12:L12" si="3">+F11+F10</f>
        <v>0</v>
      </c>
      <c r="G12" s="2">
        <f t="shared" si="3"/>
        <v>197806</v>
      </c>
      <c r="H12" s="2">
        <f t="shared" si="3"/>
        <v>29337</v>
      </c>
      <c r="I12" s="2">
        <f t="shared" si="3"/>
        <v>168469</v>
      </c>
      <c r="J12" s="2">
        <f t="shared" si="3"/>
        <v>26681</v>
      </c>
      <c r="K12" s="2">
        <f t="shared" si="3"/>
        <v>141788</v>
      </c>
      <c r="L12" s="2">
        <f t="shared" si="3"/>
        <v>9931</v>
      </c>
      <c r="M12" s="2">
        <f t="shared" ref="M12:R12" si="4">+M11+M10</f>
        <v>116843</v>
      </c>
      <c r="N12" s="2">
        <f t="shared" si="4"/>
        <v>8100</v>
      </c>
      <c r="O12" s="2">
        <f t="shared" si="4"/>
        <v>108743</v>
      </c>
      <c r="P12" s="2">
        <f t="shared" si="4"/>
        <v>1700</v>
      </c>
      <c r="Q12" s="2">
        <f t="shared" si="4"/>
        <v>0</v>
      </c>
      <c r="R12" s="2">
        <f t="shared" si="4"/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67"/>
    </row>
    <row r="13" spans="1:27" s="27" customFormat="1" ht="48" customHeight="1" x14ac:dyDescent="0.25">
      <c r="A13" s="25">
        <v>8</v>
      </c>
      <c r="B13" s="26" t="s">
        <v>10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25">
        <v>600</v>
      </c>
      <c r="V13" s="25">
        <v>450</v>
      </c>
      <c r="W13" s="25">
        <v>12000</v>
      </c>
      <c r="X13" s="25">
        <v>2015</v>
      </c>
      <c r="Y13" s="32">
        <f>24206-U13-W13</f>
        <v>11606</v>
      </c>
      <c r="Z13" s="32">
        <f>18221-V13-X13</f>
        <v>15756</v>
      </c>
      <c r="AA13" s="54" t="s">
        <v>35</v>
      </c>
    </row>
    <row r="14" spans="1:27" ht="48" customHeight="1" x14ac:dyDescent="0.25">
      <c r="A14" s="46" t="s">
        <v>26</v>
      </c>
      <c r="B14" s="46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24">
        <f>+U13</f>
        <v>600</v>
      </c>
      <c r="V14" s="24">
        <f>+V13</f>
        <v>450</v>
      </c>
      <c r="W14" s="24">
        <f>+W13</f>
        <v>12000</v>
      </c>
      <c r="X14" s="24">
        <f>+X13</f>
        <v>2015</v>
      </c>
      <c r="Y14" s="32">
        <f>24206-U14-W14</f>
        <v>11606</v>
      </c>
      <c r="Z14" s="32">
        <f>18221-V14-X14</f>
        <v>15756</v>
      </c>
      <c r="AA14" s="54"/>
    </row>
    <row r="15" spans="1:27" s="28" customFormat="1" ht="48" customHeight="1" x14ac:dyDescent="0.25">
      <c r="A15" s="46" t="s">
        <v>33</v>
      </c>
      <c r="B15" s="46"/>
      <c r="C15" s="29">
        <f>+C12+C9</f>
        <v>363667</v>
      </c>
      <c r="D15" s="29">
        <f t="shared" ref="D15:T15" si="5">+D12+D9</f>
        <v>102827</v>
      </c>
      <c r="E15" s="29">
        <f t="shared" si="5"/>
        <v>260840</v>
      </c>
      <c r="F15" s="29">
        <f t="shared" si="5"/>
        <v>51028</v>
      </c>
      <c r="G15" s="29">
        <f t="shared" si="5"/>
        <v>407618</v>
      </c>
      <c r="H15" s="29">
        <f t="shared" si="5"/>
        <v>40610</v>
      </c>
      <c r="I15" s="29">
        <f t="shared" si="5"/>
        <v>168469</v>
      </c>
      <c r="J15" s="29">
        <f t="shared" si="5"/>
        <v>26681</v>
      </c>
      <c r="K15" s="29">
        <f t="shared" si="5"/>
        <v>141788</v>
      </c>
      <c r="L15" s="29">
        <f t="shared" si="5"/>
        <v>9931</v>
      </c>
      <c r="M15" s="29">
        <f t="shared" si="5"/>
        <v>116843</v>
      </c>
      <c r="N15" s="29">
        <f t="shared" si="5"/>
        <v>8100</v>
      </c>
      <c r="O15" s="29">
        <f t="shared" si="5"/>
        <v>108743</v>
      </c>
      <c r="P15" s="29">
        <f t="shared" si="5"/>
        <v>1700</v>
      </c>
      <c r="Q15" s="29">
        <f t="shared" si="5"/>
        <v>0</v>
      </c>
      <c r="R15" s="29">
        <f t="shared" si="5"/>
        <v>0</v>
      </c>
      <c r="S15" s="29">
        <f t="shared" si="5"/>
        <v>0</v>
      </c>
      <c r="T15" s="29">
        <f t="shared" si="5"/>
        <v>0</v>
      </c>
      <c r="U15" s="29">
        <f t="shared" ref="U15:Z15" si="6">+U14+U12+U9</f>
        <v>600</v>
      </c>
      <c r="V15" s="29">
        <f t="shared" si="6"/>
        <v>450</v>
      </c>
      <c r="W15" s="29">
        <f t="shared" si="6"/>
        <v>12000</v>
      </c>
      <c r="X15" s="29">
        <f t="shared" si="6"/>
        <v>2015</v>
      </c>
      <c r="Y15" s="31">
        <f t="shared" si="6"/>
        <v>11606</v>
      </c>
      <c r="Z15" s="31">
        <f t="shared" si="6"/>
        <v>15756</v>
      </c>
      <c r="AA15" s="2"/>
    </row>
    <row r="17" spans="25:26" x14ac:dyDescent="0.25">
      <c r="Y17" s="9">
        <f>U13+W13+Y13</f>
        <v>24206</v>
      </c>
      <c r="Z17" s="9">
        <f>V13+X13+Z13</f>
        <v>18221</v>
      </c>
    </row>
  </sheetData>
  <mergeCells count="25">
    <mergeCell ref="A15:B15"/>
    <mergeCell ref="AA13:AA14"/>
    <mergeCell ref="S2:T2"/>
    <mergeCell ref="U2:V2"/>
    <mergeCell ref="A9:B9"/>
    <mergeCell ref="AA2:AA3"/>
    <mergeCell ref="A1:L1"/>
    <mergeCell ref="A2:A3"/>
    <mergeCell ref="B2:B3"/>
    <mergeCell ref="C2:D2"/>
    <mergeCell ref="E2:F2"/>
    <mergeCell ref="Y2:Z2"/>
    <mergeCell ref="W2:X2"/>
    <mergeCell ref="M2:N2"/>
    <mergeCell ref="O2:P2"/>
    <mergeCell ref="AA4:AA9"/>
    <mergeCell ref="C13:T13"/>
    <mergeCell ref="A14:B14"/>
    <mergeCell ref="C14:T14"/>
    <mergeCell ref="G2:H2"/>
    <mergeCell ref="Q2:R2"/>
    <mergeCell ref="I2:J2"/>
    <mergeCell ref="K2:L2"/>
    <mergeCell ref="AA10:AA12"/>
    <mergeCell ref="A12:B12"/>
  </mergeCells>
  <pageMargins left="0.7" right="0.7" top="0.75" bottom="0.75" header="0.3" footer="0.3"/>
  <pageSetup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3"/>
  <sheetViews>
    <sheetView tabSelected="1" view="pageBreakPreview" zoomScale="60" zoomScaleNormal="100" workbookViewId="0">
      <selection activeCell="L5" sqref="L5"/>
    </sheetView>
  </sheetViews>
  <sheetFormatPr defaultRowHeight="15" x14ac:dyDescent="0.25"/>
  <cols>
    <col min="1" max="1" width="8.140625" customWidth="1"/>
    <col min="2" max="2" width="24.7109375" customWidth="1"/>
    <col min="3" max="10" width="12.42578125" customWidth="1"/>
    <col min="11" max="11" width="11.7109375" customWidth="1"/>
    <col min="12" max="12" width="12.42578125" customWidth="1"/>
    <col min="13" max="13" width="11.42578125" customWidth="1"/>
    <col min="14" max="14" width="12.42578125" customWidth="1"/>
    <col min="15" max="15" width="11.42578125" customWidth="1"/>
    <col min="16" max="16" width="14.5703125" customWidth="1"/>
  </cols>
  <sheetData>
    <row r="1" spans="1:16" ht="26.25" x14ac:dyDescent="0.25">
      <c r="A1" s="81" t="s">
        <v>19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43.5" customHeight="1" x14ac:dyDescent="0.25">
      <c r="A2" s="82" t="s">
        <v>36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59.25" customHeight="1" x14ac:dyDescent="0.25">
      <c r="A3" s="83" t="s">
        <v>37</v>
      </c>
      <c r="B3" s="85" t="s">
        <v>1</v>
      </c>
      <c r="C3" s="76" t="s">
        <v>24</v>
      </c>
      <c r="D3" s="76"/>
      <c r="E3" s="76" t="s">
        <v>25</v>
      </c>
      <c r="F3" s="76"/>
      <c r="G3" s="76" t="s">
        <v>27</v>
      </c>
      <c r="H3" s="76"/>
      <c r="I3" s="76" t="s">
        <v>28</v>
      </c>
      <c r="J3" s="76"/>
      <c r="K3" s="76" t="s">
        <v>29</v>
      </c>
      <c r="L3" s="76"/>
      <c r="M3" s="76" t="s">
        <v>34</v>
      </c>
      <c r="N3" s="76"/>
      <c r="O3" s="77" t="s">
        <v>38</v>
      </c>
      <c r="P3" s="78"/>
    </row>
    <row r="4" spans="1:16" ht="53.25" customHeight="1" x14ac:dyDescent="0.25">
      <c r="A4" s="84"/>
      <c r="B4" s="85"/>
      <c r="C4" s="42" t="s">
        <v>4</v>
      </c>
      <c r="D4" s="42" t="s">
        <v>39</v>
      </c>
      <c r="E4" s="42" t="s">
        <v>4</v>
      </c>
      <c r="F4" s="42" t="s">
        <v>39</v>
      </c>
      <c r="G4" s="42" t="s">
        <v>4</v>
      </c>
      <c r="H4" s="42" t="s">
        <v>39</v>
      </c>
      <c r="I4" s="42" t="s">
        <v>4</v>
      </c>
      <c r="J4" s="42" t="s">
        <v>39</v>
      </c>
      <c r="K4" s="42" t="s">
        <v>4</v>
      </c>
      <c r="L4" s="42" t="s">
        <v>39</v>
      </c>
      <c r="M4" s="42" t="s">
        <v>4</v>
      </c>
      <c r="N4" s="42" t="s">
        <v>39</v>
      </c>
      <c r="O4" s="42" t="s">
        <v>4</v>
      </c>
      <c r="P4" s="42" t="s">
        <v>39</v>
      </c>
    </row>
    <row r="5" spans="1:16" s="44" customFormat="1" ht="56.25" customHeight="1" x14ac:dyDescent="0.45">
      <c r="A5" s="43">
        <v>1</v>
      </c>
      <c r="B5" s="43" t="s">
        <v>8</v>
      </c>
      <c r="C5" s="43" t="s">
        <v>40</v>
      </c>
      <c r="D5" s="43">
        <v>123</v>
      </c>
      <c r="E5" s="43" t="s">
        <v>40</v>
      </c>
      <c r="F5" s="43">
        <v>574</v>
      </c>
      <c r="G5" s="43" t="s">
        <v>40</v>
      </c>
      <c r="H5" s="43">
        <v>162</v>
      </c>
      <c r="I5" s="43" t="s">
        <v>40</v>
      </c>
      <c r="J5" s="43">
        <v>237</v>
      </c>
      <c r="K5" s="43" t="s">
        <v>40</v>
      </c>
      <c r="L5" s="43">
        <v>436</v>
      </c>
      <c r="M5" s="43" t="s">
        <v>40</v>
      </c>
      <c r="N5" s="43">
        <v>539</v>
      </c>
      <c r="O5" s="43" t="s">
        <v>40</v>
      </c>
      <c r="P5" s="43">
        <v>351</v>
      </c>
    </row>
    <row r="6" spans="1:16" s="44" customFormat="1" ht="56.25" customHeight="1" x14ac:dyDescent="0.45">
      <c r="A6" s="43">
        <v>2</v>
      </c>
      <c r="B6" s="43" t="s">
        <v>11</v>
      </c>
      <c r="C6" s="43" t="s">
        <v>40</v>
      </c>
      <c r="D6" s="43">
        <v>172</v>
      </c>
      <c r="E6" s="43" t="s">
        <v>40</v>
      </c>
      <c r="F6" s="43">
        <v>437</v>
      </c>
      <c r="G6" s="43" t="s">
        <v>40</v>
      </c>
      <c r="H6" s="43">
        <v>223</v>
      </c>
      <c r="I6" s="43" t="s">
        <v>40</v>
      </c>
      <c r="J6" s="43">
        <v>154</v>
      </c>
      <c r="K6" s="43" t="s">
        <v>40</v>
      </c>
      <c r="L6" s="43">
        <v>739</v>
      </c>
      <c r="M6" s="43" t="s">
        <v>40</v>
      </c>
      <c r="N6" s="43">
        <v>939</v>
      </c>
      <c r="O6" s="43" t="s">
        <v>40</v>
      </c>
      <c r="P6" s="43">
        <v>342</v>
      </c>
    </row>
    <row r="7" spans="1:16" s="44" customFormat="1" ht="56.25" customHeight="1" x14ac:dyDescent="0.45">
      <c r="A7" s="43">
        <v>3</v>
      </c>
      <c r="B7" s="43" t="s">
        <v>41</v>
      </c>
      <c r="C7" s="43" t="s">
        <v>40</v>
      </c>
      <c r="D7" s="43">
        <v>266</v>
      </c>
      <c r="E7" s="43" t="s">
        <v>40</v>
      </c>
      <c r="F7" s="43">
        <v>131</v>
      </c>
      <c r="G7" s="43" t="s">
        <v>40</v>
      </c>
      <c r="H7" s="43">
        <v>102</v>
      </c>
      <c r="I7" s="43" t="s">
        <v>40</v>
      </c>
      <c r="J7" s="43">
        <v>174</v>
      </c>
      <c r="K7" s="43" t="s">
        <v>40</v>
      </c>
      <c r="L7" s="43">
        <v>233</v>
      </c>
      <c r="M7" s="43" t="s">
        <v>40</v>
      </c>
      <c r="N7" s="43">
        <v>307</v>
      </c>
      <c r="O7" s="43" t="s">
        <v>40</v>
      </c>
      <c r="P7" s="43">
        <v>236</v>
      </c>
    </row>
    <row r="8" spans="1:16" s="44" customFormat="1" ht="56.25" customHeight="1" x14ac:dyDescent="0.45">
      <c r="A8" s="43">
        <v>4</v>
      </c>
      <c r="B8" s="43" t="s">
        <v>10</v>
      </c>
      <c r="C8" s="43" t="s">
        <v>40</v>
      </c>
      <c r="D8" s="43">
        <v>556</v>
      </c>
      <c r="E8" s="43" t="s">
        <v>40</v>
      </c>
      <c r="F8" s="43">
        <v>788</v>
      </c>
      <c r="G8" s="43" t="s">
        <v>40</v>
      </c>
      <c r="H8" s="43">
        <v>303</v>
      </c>
      <c r="I8" s="43" t="s">
        <v>40</v>
      </c>
      <c r="J8" s="43">
        <v>722</v>
      </c>
      <c r="K8" s="43" t="s">
        <v>40</v>
      </c>
      <c r="L8" s="43">
        <v>679</v>
      </c>
      <c r="M8" s="43" t="s">
        <v>40</v>
      </c>
      <c r="N8" s="43">
        <v>972</v>
      </c>
      <c r="O8" s="43" t="s">
        <v>40</v>
      </c>
      <c r="P8" s="43">
        <v>464</v>
      </c>
    </row>
    <row r="9" spans="1:16" s="44" customFormat="1" ht="56.25" customHeight="1" x14ac:dyDescent="0.45">
      <c r="A9" s="43">
        <v>5</v>
      </c>
      <c r="B9" s="43" t="s">
        <v>14</v>
      </c>
      <c r="C9" s="43" t="s">
        <v>40</v>
      </c>
      <c r="D9" s="43">
        <v>748</v>
      </c>
      <c r="E9" s="43" t="s">
        <v>40</v>
      </c>
      <c r="F9" s="43">
        <v>1540</v>
      </c>
      <c r="G9" s="43" t="s">
        <v>40</v>
      </c>
      <c r="H9" s="43">
        <v>723</v>
      </c>
      <c r="I9" s="43" t="s">
        <v>40</v>
      </c>
      <c r="J9" s="43">
        <v>1207</v>
      </c>
      <c r="K9" s="43" t="s">
        <v>40</v>
      </c>
      <c r="L9" s="43">
        <v>1220</v>
      </c>
      <c r="M9" s="43" t="s">
        <v>40</v>
      </c>
      <c r="N9" s="43">
        <v>1665</v>
      </c>
      <c r="O9" s="43" t="s">
        <v>40</v>
      </c>
      <c r="P9" s="43">
        <v>1512</v>
      </c>
    </row>
    <row r="10" spans="1:16" s="44" customFormat="1" ht="56.25" customHeight="1" x14ac:dyDescent="0.45">
      <c r="A10" s="43">
        <v>6</v>
      </c>
      <c r="B10" s="43" t="s">
        <v>12</v>
      </c>
      <c r="C10" s="43" t="s">
        <v>40</v>
      </c>
      <c r="D10" s="43">
        <v>545</v>
      </c>
      <c r="E10" s="43" t="s">
        <v>40</v>
      </c>
      <c r="F10" s="43">
        <v>1079</v>
      </c>
      <c r="G10" s="43" t="s">
        <v>40</v>
      </c>
      <c r="H10" s="43">
        <v>615</v>
      </c>
      <c r="I10" s="43" t="s">
        <v>40</v>
      </c>
      <c r="J10" s="43">
        <v>791</v>
      </c>
      <c r="K10" s="43" t="s">
        <v>40</v>
      </c>
      <c r="L10" s="43">
        <v>1477</v>
      </c>
      <c r="M10" s="43" t="s">
        <v>40</v>
      </c>
      <c r="N10" s="43">
        <v>683</v>
      </c>
      <c r="O10" s="43" t="s">
        <v>40</v>
      </c>
      <c r="P10" s="43">
        <v>1047</v>
      </c>
    </row>
    <row r="11" spans="1:16" s="44" customFormat="1" ht="56.25" customHeight="1" x14ac:dyDescent="0.45">
      <c r="A11" s="43">
        <v>7</v>
      </c>
      <c r="B11" s="43" t="s">
        <v>9</v>
      </c>
      <c r="C11" s="43" t="s">
        <v>40</v>
      </c>
      <c r="D11" s="43">
        <v>499</v>
      </c>
      <c r="E11" s="43" t="s">
        <v>40</v>
      </c>
      <c r="F11" s="43">
        <v>767</v>
      </c>
      <c r="G11" s="43" t="s">
        <v>40</v>
      </c>
      <c r="H11" s="43">
        <v>381</v>
      </c>
      <c r="I11" s="43" t="s">
        <v>40</v>
      </c>
      <c r="J11" s="43">
        <v>470</v>
      </c>
      <c r="K11" s="43" t="s">
        <v>40</v>
      </c>
      <c r="L11" s="43">
        <v>656</v>
      </c>
      <c r="M11" s="43" t="s">
        <v>40</v>
      </c>
      <c r="N11" s="43">
        <v>1123</v>
      </c>
      <c r="O11" s="43" t="s">
        <v>40</v>
      </c>
      <c r="P11" s="43">
        <v>904</v>
      </c>
    </row>
    <row r="12" spans="1:16" s="44" customFormat="1" ht="50.25" customHeight="1" x14ac:dyDescent="0.45">
      <c r="A12" s="79" t="s">
        <v>42</v>
      </c>
      <c r="B12" s="80"/>
      <c r="C12" s="45">
        <f>SUM(C5:C11)</f>
        <v>0</v>
      </c>
      <c r="D12" s="45">
        <f t="shared" ref="D12:I12" si="0">SUM(D5:D11)</f>
        <v>2909</v>
      </c>
      <c r="E12" s="45">
        <f t="shared" si="0"/>
        <v>0</v>
      </c>
      <c r="F12" s="45">
        <f t="shared" si="0"/>
        <v>5316</v>
      </c>
      <c r="G12" s="45">
        <f t="shared" si="0"/>
        <v>0</v>
      </c>
      <c r="H12" s="45">
        <f t="shared" si="0"/>
        <v>2509</v>
      </c>
      <c r="I12" s="45">
        <f t="shared" si="0"/>
        <v>0</v>
      </c>
      <c r="J12" s="45">
        <f>SUM(J5:J11)</f>
        <v>3755</v>
      </c>
      <c r="K12" s="45">
        <f>+C12+E12+G12+I12</f>
        <v>0</v>
      </c>
      <c r="L12" s="45">
        <f>SUM(L5:L11)</f>
        <v>5440</v>
      </c>
      <c r="M12" s="45">
        <f>+E12+G12+I12+K12</f>
        <v>0</v>
      </c>
      <c r="N12" s="45">
        <f>SUM(N5:N11)</f>
        <v>6228</v>
      </c>
      <c r="O12" s="45">
        <v>0</v>
      </c>
      <c r="P12" s="45">
        <f>SUM(P5:P11)</f>
        <v>4856</v>
      </c>
    </row>
    <row r="13" spans="1:16" x14ac:dyDescent="0.25">
      <c r="B13" s="8"/>
    </row>
  </sheetData>
  <mergeCells count="12">
    <mergeCell ref="A1:P1"/>
    <mergeCell ref="A2:P2"/>
    <mergeCell ref="A3:A4"/>
    <mergeCell ref="B3:B4"/>
    <mergeCell ref="C3:D3"/>
    <mergeCell ref="E3:F3"/>
    <mergeCell ref="G3:H3"/>
    <mergeCell ref="I3:J3"/>
    <mergeCell ref="K3:L3"/>
    <mergeCell ref="M3:N3"/>
    <mergeCell ref="O3:P3"/>
    <mergeCell ref="A12:B12"/>
  </mergeCells>
  <pageMargins left="0.70866141732283472" right="0.70866141732283472" top="0.74803149606299213" bottom="0.74803149606299213" header="0.31496062992125984" footer="0.31496062992125984"/>
  <pageSetup scale="5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village intensive electr</vt:lpstr>
      <vt:lpstr>habitation electrification</vt:lpstr>
      <vt:lpstr>BPL progress</vt:lpstr>
      <vt:lpstr>RHH progress (2)</vt:lpstr>
      <vt:lpstr>GK-IP sets serviced</vt:lpstr>
      <vt:lpstr>'GK-IP sets serviced'!Print_Area</vt:lpstr>
      <vt:lpstr>'habitation electrification'!Print_Area</vt:lpstr>
      <vt:lpstr>'RHH progress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2020-08-07T06:19:59Z</dcterms:modified>
</cp:coreProperties>
</file>